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45"/>
  </bookViews>
  <sheets>
    <sheet name="Guidelines" sheetId="2" r:id="rId1"/>
    <sheet name="New or Old" sheetId="1" r:id="rId2"/>
    <sheet name="NEW TDS" sheetId="3" r:id="rId3"/>
    <sheet name="Old TDS (Age below 60)" sheetId="4" r:id="rId4"/>
    <sheet name="Old TDS (Age 60-79)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F45" i="3" l="1"/>
  <c r="D8" i="1" l="1"/>
  <c r="D16" i="1" l="1"/>
  <c r="D17" i="1"/>
  <c r="D14" i="1"/>
  <c r="D15" i="1"/>
  <c r="D13" i="1"/>
  <c r="D12" i="1"/>
  <c r="J97" i="5"/>
  <c r="I97" i="5"/>
  <c r="H97" i="5"/>
  <c r="G97" i="5"/>
  <c r="I12" i="5" s="1"/>
  <c r="I21" i="5" s="1"/>
  <c r="F96" i="5"/>
  <c r="F95" i="5"/>
  <c r="F94" i="5"/>
  <c r="F93" i="5"/>
  <c r="F92" i="5"/>
  <c r="F91" i="5"/>
  <c r="F90" i="5"/>
  <c r="F89" i="5"/>
  <c r="F88" i="5"/>
  <c r="F87" i="5"/>
  <c r="F86" i="5"/>
  <c r="F85" i="5"/>
  <c r="I43" i="5"/>
  <c r="I63" i="5" s="1"/>
  <c r="I29" i="5"/>
  <c r="I13" i="5"/>
  <c r="J97" i="4"/>
  <c r="I97" i="4"/>
  <c r="H97" i="4"/>
  <c r="G97" i="4"/>
  <c r="F96" i="4"/>
  <c r="F95" i="4"/>
  <c r="F94" i="4"/>
  <c r="F93" i="4"/>
  <c r="F92" i="4"/>
  <c r="F91" i="4"/>
  <c r="F90" i="4"/>
  <c r="F89" i="4"/>
  <c r="F88" i="4"/>
  <c r="F87" i="4"/>
  <c r="F86" i="4"/>
  <c r="F85" i="4"/>
  <c r="I29" i="4"/>
  <c r="I43" i="4" s="1"/>
  <c r="I63" i="4" s="1"/>
  <c r="I13" i="4"/>
  <c r="I12" i="4"/>
  <c r="I21" i="4" s="1"/>
  <c r="J45" i="3"/>
  <c r="I45" i="3"/>
  <c r="H45" i="3"/>
  <c r="G45" i="3"/>
  <c r="F44" i="3"/>
  <c r="F43" i="3"/>
  <c r="F42" i="3"/>
  <c r="F41" i="3"/>
  <c r="F40" i="3"/>
  <c r="F39" i="3"/>
  <c r="F38" i="3"/>
  <c r="F37" i="3"/>
  <c r="F36" i="3"/>
  <c r="F35" i="3"/>
  <c r="F34" i="3"/>
  <c r="F33" i="3"/>
  <c r="J12" i="3" l="1"/>
  <c r="F97" i="5"/>
  <c r="J9" i="5" s="1"/>
  <c r="F97" i="4"/>
  <c r="J9" i="4" s="1"/>
  <c r="J23" i="4" s="1"/>
  <c r="J23" i="5"/>
  <c r="J65" i="5" s="1"/>
  <c r="J65" i="4"/>
  <c r="J18" i="3" l="1"/>
  <c r="J21" i="3"/>
  <c r="J17" i="3"/>
  <c r="J20" i="3"/>
  <c r="J16" i="3"/>
  <c r="J19" i="3"/>
  <c r="I76" i="5"/>
  <c r="I71" i="5"/>
  <c r="I73" i="5"/>
  <c r="I72" i="5"/>
  <c r="I76" i="4"/>
  <c r="I71" i="4"/>
  <c r="I73" i="4"/>
  <c r="I72" i="4"/>
  <c r="J22" i="3" l="1"/>
  <c r="J24" i="3" s="1"/>
  <c r="I75" i="5"/>
  <c r="I77" i="5" s="1"/>
  <c r="I75" i="4"/>
  <c r="I77" i="4" s="1"/>
  <c r="J23" i="3" l="1"/>
  <c r="J25" i="3" s="1"/>
  <c r="J26" i="3" s="1"/>
  <c r="J27" i="3" s="1"/>
  <c r="I78" i="5"/>
  <c r="I79" i="5" s="1"/>
  <c r="I78" i="4"/>
  <c r="I79" i="4" s="1"/>
  <c r="K14" i="1" l="1"/>
  <c r="H8" i="1" s="1"/>
  <c r="G12" i="1"/>
  <c r="F12" i="1"/>
  <c r="H11" i="1"/>
  <c r="G11" i="1"/>
  <c r="F11" i="1"/>
  <c r="AE12" i="1" l="1"/>
  <c r="AE13" i="1"/>
  <c r="AF13" i="1"/>
  <c r="AD14" i="1"/>
  <c r="AD12" i="1"/>
  <c r="AD13" i="1"/>
  <c r="AF14" i="1"/>
  <c r="AE14" i="1"/>
  <c r="H14" i="1" l="1"/>
  <c r="D18" i="1"/>
  <c r="D20" i="1" s="1"/>
  <c r="H12" i="1"/>
  <c r="H13" i="1"/>
  <c r="D19" i="1" l="1"/>
  <c r="D21" i="1" s="1"/>
  <c r="H18" i="1"/>
  <c r="H19" i="1" s="1"/>
  <c r="D22" i="1" l="1"/>
  <c r="D23" i="1" s="1"/>
  <c r="H20" i="1"/>
  <c r="H21" i="1" l="1"/>
  <c r="H22" i="1" s="1"/>
  <c r="L20" i="1" l="1"/>
  <c r="J18" i="1"/>
</calcChain>
</file>

<file path=xl/sharedStrings.xml><?xml version="1.0" encoding="utf-8"?>
<sst xmlns="http://schemas.openxmlformats.org/spreadsheetml/2006/main" count="370" uniqueCount="189">
  <si>
    <t>AGE</t>
  </si>
  <si>
    <t>ANNUAL INCOME ( before any deduction)</t>
  </si>
  <si>
    <t>NEW TAX REGIME</t>
  </si>
  <si>
    <t>OLD TAX REGIME</t>
  </si>
  <si>
    <t>Section</t>
  </si>
  <si>
    <t>Deduction</t>
  </si>
  <si>
    <t>Max</t>
  </si>
  <si>
    <t>&lt;60</t>
  </si>
  <si>
    <t>61 to 79</t>
  </si>
  <si>
    <t>&gt; 79</t>
  </si>
  <si>
    <t>Taxable Income</t>
  </si>
  <si>
    <t>16(iii)</t>
  </si>
  <si>
    <t>(Professional Tax)</t>
  </si>
  <si>
    <t>INCOME IN LAKHS</t>
  </si>
  <si>
    <t>Percentage</t>
  </si>
  <si>
    <t>Tax in Rs.</t>
  </si>
  <si>
    <t>80 C</t>
  </si>
  <si>
    <t>(Insurance,PF,etc.)</t>
  </si>
  <si>
    <t>80CCD(1B)</t>
  </si>
  <si>
    <t>(National Pension Scheme (NPS))</t>
  </si>
  <si>
    <t>Nil</t>
  </si>
  <si>
    <t>80 D</t>
  </si>
  <si>
    <t>25000/50000/75000/100000</t>
  </si>
  <si>
    <t>(Mediclaim Policy)</t>
  </si>
  <si>
    <t xml:space="preserve"> </t>
  </si>
  <si>
    <t>24 B</t>
  </si>
  <si>
    <t>(Interest on Housing loan)</t>
  </si>
  <si>
    <t>5 - 10</t>
  </si>
  <si>
    <t>(Other deductions if any)</t>
  </si>
  <si>
    <t>Above 10</t>
  </si>
  <si>
    <t>Total</t>
  </si>
  <si>
    <t>Income Tax</t>
  </si>
  <si>
    <t>(-)Tax Rebate (87A)</t>
  </si>
  <si>
    <t>(+) Ednl. Cess 4%</t>
  </si>
  <si>
    <t>TAX DIFFERENCE :</t>
  </si>
  <si>
    <t>Tax Payable</t>
  </si>
  <si>
    <t>Final Income Tax</t>
  </si>
  <si>
    <t>(WHO HAVE EXERCISED OPTION U/S 115 BAC)</t>
  </si>
  <si>
    <t>Name of the Staff</t>
  </si>
  <si>
    <t>Designation</t>
  </si>
  <si>
    <t>Department</t>
  </si>
  <si>
    <t>PAN No. (Attach Xerox copy)</t>
  </si>
  <si>
    <t xml:space="preserve"> To</t>
  </si>
  <si>
    <t xml:space="preserve">Rs. </t>
  </si>
  <si>
    <t>1. Gross Salary received during the FY</t>
  </si>
  <si>
    <t>:</t>
  </si>
  <si>
    <t xml:space="preserve">   (-)Standard Deduction</t>
  </si>
  <si>
    <t>2. Total Taxable income(rounded off to the nearest ten rupee)</t>
  </si>
  <si>
    <t>3. Tax on Taxable Income</t>
  </si>
  <si>
    <t>Nil :</t>
  </si>
  <si>
    <t>5% :</t>
  </si>
  <si>
    <t>10% :</t>
  </si>
  <si>
    <t xml:space="preserve">15% : </t>
  </si>
  <si>
    <t xml:space="preserve">20% : </t>
  </si>
  <si>
    <t xml:space="preserve">30% : </t>
  </si>
  <si>
    <t>4. Tax on total income</t>
  </si>
  <si>
    <t>Add : 4% Health &amp; Education cess</t>
  </si>
  <si>
    <t>5. Total tax payable</t>
  </si>
  <si>
    <t>Month</t>
  </si>
  <si>
    <t>Basic Pay</t>
  </si>
  <si>
    <t>Grade Pay</t>
  </si>
  <si>
    <t>D.A.</t>
  </si>
  <si>
    <t>Gross Salary</t>
  </si>
  <si>
    <t>Deductions</t>
  </si>
  <si>
    <t>L.L.P</t>
  </si>
  <si>
    <t>P.F.</t>
  </si>
  <si>
    <t>Adv. Tax</t>
  </si>
  <si>
    <t>Prof. Tax</t>
  </si>
  <si>
    <t>Date :</t>
  </si>
  <si>
    <t>Signature of the Staff</t>
  </si>
  <si>
    <t>(WHO HAVE NOT EXERCISED OPTION U/S 115 BAC)</t>
  </si>
  <si>
    <t>I. Gross Salary received  during the FY</t>
  </si>
  <si>
    <t>Rs.</t>
  </si>
  <si>
    <t>(Statement enclosed on page No: 2)</t>
  </si>
  <si>
    <t xml:space="preserve">     A. Less: Deductions (LLP if any)</t>
  </si>
  <si>
    <t xml:space="preserve">     B. Professional Tax(u/s 16(iii))</t>
  </si>
  <si>
    <t xml:space="preserve">     C. Interest paid on Housing Loan Maximum Rs.2,00,000</t>
  </si>
  <si>
    <t xml:space="preserve">        u/s 24(b) allowed only for self occupied property</t>
  </si>
  <si>
    <t xml:space="preserve">     D. Standard Deduction</t>
  </si>
  <si>
    <t xml:space="preserve">     E. Deduction u/s 24(b), 80EE, 80EEA(interest on Housing Loan)</t>
  </si>
  <si>
    <t xml:space="preserve">     F. Deduction u/s 80EEB - interest paid on loan taken for purchase of </t>
  </si>
  <si>
    <t xml:space="preserve">         Electric vehicle. Maximum Rs. 1,50,000</t>
  </si>
  <si>
    <t>II TOTAL DEDUCTIONS (A+B+C+D+E+F)</t>
  </si>
  <si>
    <t>III Gross Total Income (I - II)</t>
  </si>
  <si>
    <t xml:space="preserve">     G. DEDUCTIONS UNDER CHAPTER VI - A</t>
  </si>
  <si>
    <t>DEDUCTIONS u/s 80C</t>
  </si>
  <si>
    <t>a) SAVINGS THROUGH SALARY</t>
  </si>
  <si>
    <t>1.  Life insurance premium for his life and for family members etc.</t>
  </si>
  <si>
    <t>2.  Statutory provident fund contribution</t>
  </si>
  <si>
    <t>3.  15 year public provident fund</t>
  </si>
  <si>
    <t>4.  Sum deposited in 10 year or 15 year account under the post office</t>
  </si>
  <si>
    <t xml:space="preserve">     savings Bank account</t>
  </si>
  <si>
    <t>5.  National Savings Certificate VI and VII Issues</t>
  </si>
  <si>
    <t>6.  Sum paid as principal to House Loan account scheme.</t>
  </si>
  <si>
    <t>7.  Payment of Tuition Fees (Excluding book money, uniform, amenities</t>
  </si>
  <si>
    <t xml:space="preserve">     caution deposits etc.,) admission fees, special fees, Term fees to </t>
  </si>
  <si>
    <t xml:space="preserve">    any University, college, school or other Educational Institution for </t>
  </si>
  <si>
    <t xml:space="preserve">    two children situated within India.</t>
  </si>
  <si>
    <t xml:space="preserve">8.  Investment in scheduled bank in Fixed deposit for 5 years or more  </t>
  </si>
  <si>
    <t xml:space="preserve">     qualify for tax deduction. Under Tax Saver Scheme.</t>
  </si>
  <si>
    <t xml:space="preserve">9. Deposit in Sukanya Samriddhi Yojana/Ponmagan Semippu Thittam </t>
  </si>
  <si>
    <t>Qualifying amount restricted to Rs.1,50,000</t>
  </si>
  <si>
    <t>b).  u/s 80E Interest payment on Edn. loan for self, spouse &amp; Children.</t>
  </si>
  <si>
    <t xml:space="preserve">c)  i) u/s 80D Mediclaim Insurance Premium paid (mediclaim) </t>
  </si>
  <si>
    <t xml:space="preserve">        Maximum Rs. 25000</t>
  </si>
  <si>
    <t xml:space="preserve">    ii) Further deduction upto Rs.25,000/- for mediclaim for parents (if</t>
  </si>
  <si>
    <t xml:space="preserve">        the parents are senior citizen then Rs.50,000/-)</t>
  </si>
  <si>
    <t xml:space="preserve">d)  i) u/s 80DD, any expentiture incurred by way of medical treatment, </t>
  </si>
  <si>
    <t xml:space="preserve">        training and rehabilitation of handicapped dependent (or)</t>
  </si>
  <si>
    <t xml:space="preserve">    ii) Any amount paid or deposited made in specified scheme of LIC/UTI</t>
  </si>
  <si>
    <t xml:space="preserve">        Maximum amount of deduction shall be Rs.75000 ( Rs.125000 if the </t>
  </si>
  <si>
    <t xml:space="preserve">        disability is over 80%)</t>
  </si>
  <si>
    <t>e)  u/s 80DDB-deduction in respect of medical treatment, Max.Rs.40000</t>
  </si>
  <si>
    <t xml:space="preserve">    (Expenditure incurred for senior citizen Rs. 100000)     </t>
  </si>
  <si>
    <t>f)  u/s 80G - Deduction in respect of Donation paid</t>
  </si>
  <si>
    <t>g) u/s80U - Physically handicapped persons upto Rs. 75000</t>
  </si>
  <si>
    <t xml:space="preserve">    (Rs. 125000 if the disability is over 80%)</t>
  </si>
  <si>
    <t>h)  u/s 80CCD(1B) - Contribution to NPS (max Rs.50000)</t>
  </si>
  <si>
    <t>IV  TOTAL DEDUCTIONS</t>
  </si>
  <si>
    <t>V  TOTAL TAXABLE INCOME (III - IV)</t>
  </si>
  <si>
    <t>COMPUTATION OF TAX</t>
  </si>
  <si>
    <t>Income Tax on Total Taxable Income</t>
  </si>
  <si>
    <t>A</t>
  </si>
  <si>
    <t>First Rs. 2,50,000/-</t>
  </si>
  <si>
    <t>B</t>
  </si>
  <si>
    <t>Rs.2,50,000/- to Rs.5,00,000/-</t>
  </si>
  <si>
    <t>At 5%</t>
  </si>
  <si>
    <t>C</t>
  </si>
  <si>
    <t>Rs.5,00,000/- to Rs.10,00,000/-</t>
  </si>
  <si>
    <t>At 20%</t>
  </si>
  <si>
    <t>D</t>
  </si>
  <si>
    <t>Above Rs.10,00,000/-</t>
  </si>
  <si>
    <t>At 30%</t>
  </si>
  <si>
    <t>Tax on Total Income</t>
  </si>
  <si>
    <t>Less: Tax rebate u/s 87A if the Net Taxable Income is upto Rs.5,00,000/-</t>
  </si>
  <si>
    <t>Add 4% Educational Cess</t>
  </si>
  <si>
    <t>Total Tax Payable</t>
  </si>
  <si>
    <t xml:space="preserve">     E. Deduction u/s 24(b), 80EE, 80EEA</t>
  </si>
  <si>
    <t>6.  Sum paid as subscription to House Loan account scheme.</t>
  </si>
  <si>
    <t xml:space="preserve">        Maximum Rs. 50000(for Sr. Citizens)</t>
  </si>
  <si>
    <t xml:space="preserve">    ii) Further deduction upto Rs.50,000/- for mediclaim for parents</t>
  </si>
  <si>
    <t>First Rs. 3,00,000/-</t>
  </si>
  <si>
    <t>Rs.3,00,001/- to Rs.5,00,000/-</t>
  </si>
  <si>
    <t>Which tax regime ?  New or Old</t>
  </si>
  <si>
    <t>If the Tax payable under New Tax Regime is less than Old Tax Regime</t>
  </si>
  <si>
    <t>New Tax Regime</t>
  </si>
  <si>
    <t>Old Tax Regime</t>
  </si>
  <si>
    <t xml:space="preserve">the gray colored cells (if it is applicable for you, otherwise leave blank) </t>
  </si>
  <si>
    <t>In the next sheet (New or Old), type your details in yellow colored cells.</t>
  </si>
  <si>
    <t>you can opt New Tax Regime otherwise opt Old Tax Regime</t>
  </si>
  <si>
    <t xml:space="preserve">i)  In the sheet Old TDS(Age below 60) / Old TDS(Age 60-79), fill your details in </t>
  </si>
  <si>
    <t>Hostel or other Income</t>
  </si>
  <si>
    <t>Period   From</t>
  </si>
  <si>
    <t>Less: Marginal Tax Relief</t>
  </si>
  <si>
    <t>Net Tax</t>
  </si>
  <si>
    <t>i)  In the sheet "New TDS" fill your details in cells A5-H5,A7, B32-E43, G32-J43.</t>
  </si>
  <si>
    <t>(A5-H5, A7,  14,17,18,28,30,31,33-35,39,41,45,47,49,51,53,56,58,59,61 of column I, B85-E96, G85-J96)</t>
  </si>
  <si>
    <t>WhatsApp to me (7598383482) if you have any issues.</t>
  </si>
  <si>
    <t>Standard Deduction (New Tax Regime)</t>
  </si>
  <si>
    <t>Standard Deduction (Old Tax Regime)</t>
  </si>
  <si>
    <t>Prepared by: Dr. K. Karuppasamy, www.drkk.in</t>
  </si>
  <si>
    <t>(-) Marginal Tax Relief</t>
  </si>
  <si>
    <t xml:space="preserve"> Final Income Tax</t>
  </si>
  <si>
    <t>In the new tax regime, no deductions are permitted (Except the Standard Deduction)</t>
  </si>
  <si>
    <t>ii) Take a printout, attach your PAN xerox and submit to Mr. A. Guruvu, Finanace Section</t>
  </si>
  <si>
    <t>ii) Take a printout, attach the Xerox of PAN and other supporting documents and submit to Mr. A. Guruvu, Finance section</t>
  </si>
  <si>
    <t>Prepared by : Dr. K. Karuppasamy, Professor, KARE (www.drkk.in)</t>
  </si>
  <si>
    <t>Income Tax Calculator (FY 2025-26) (Edit yellow colored cells)</t>
  </si>
  <si>
    <t>0 - 4</t>
  </si>
  <si>
    <t>4 - 8</t>
  </si>
  <si>
    <t>8 - 12</t>
  </si>
  <si>
    <t>12 - 16</t>
  </si>
  <si>
    <t xml:space="preserve"> 16 - 20</t>
  </si>
  <si>
    <t xml:space="preserve"> 20 - 24</t>
  </si>
  <si>
    <t>Above 24</t>
  </si>
  <si>
    <t>01-04-2025</t>
  </si>
  <si>
    <t>31-03-2026</t>
  </si>
  <si>
    <t>Upto Rs. 4,00,000</t>
  </si>
  <si>
    <t>Rs. 4,00,001 to Rs. 8,00,000</t>
  </si>
  <si>
    <t>Rs.  8,00,001 to Rs. 12,00,000</t>
  </si>
  <si>
    <t>Rs. 12,00,001 to Rs. 16,00,000</t>
  </si>
  <si>
    <t>Rs.  16,00,001 to Rs. 20,00,000</t>
  </si>
  <si>
    <t>Rs.  20,00,001 to Rs. 24,00,000</t>
  </si>
  <si>
    <t>Above Rs. 24,00,000</t>
  </si>
  <si>
    <t xml:space="preserve">25% : </t>
  </si>
  <si>
    <t>Less: Rebate u/s 87A (if taxable income is upto Rs. 1200000)</t>
  </si>
  <si>
    <t>Total Salary received from Employer for the period from 01.04.2025 to 31.03.2026</t>
  </si>
  <si>
    <t>INCOME TAX STATEMENT T.D.S. FOR THE YEAR 2025-26</t>
  </si>
  <si>
    <t>INCOME TAX STATEMENT T.D.S. FOR THE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</si>
</sst>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10" xfId="0" applyFont="1" applyBorder="1"/>
    <xf numFmtId="0" fontId="9" fillId="0" borderId="0" xfId="0" applyFont="1"/>
    <xf numFmtId="0" fontId="7" fillId="0" borderId="9" xfId="0" applyFon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0" fontId="0" fillId="0" borderId="9" xfId="0" applyBorder="1"/>
    <xf numFmtId="0" fontId="0" fillId="11" borderId="9" xfId="0" applyFill="1" applyBorder="1"/>
    <xf numFmtId="0" fontId="0" fillId="13" borderId="9" xfId="0" applyFill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11" borderId="0" xfId="0" applyFill="1" applyBorder="1" applyAlignment="1">
      <alignment horizontal="center"/>
    </xf>
    <xf numFmtId="164" fontId="7" fillId="0" borderId="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9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right"/>
    </xf>
    <xf numFmtId="0" fontId="7" fillId="0" borderId="0" xfId="0" applyFont="1" applyProtection="1"/>
    <xf numFmtId="0" fontId="6" fillId="0" borderId="0" xfId="0" applyFont="1" applyProtection="1"/>
    <xf numFmtId="0" fontId="0" fillId="13" borderId="0" xfId="0" applyFill="1"/>
    <xf numFmtId="0" fontId="0" fillId="0" borderId="0" xfId="0" applyAlignment="1">
      <alignment horizontal="right"/>
    </xf>
    <xf numFmtId="0" fontId="0" fillId="14" borderId="0" xfId="0" applyFill="1"/>
    <xf numFmtId="0" fontId="6" fillId="0" borderId="0" xfId="0" applyFont="1"/>
    <xf numFmtId="0" fontId="0" fillId="11" borderId="0" xfId="0" applyFill="1"/>
    <xf numFmtId="0" fontId="7" fillId="0" borderId="12" xfId="0" applyFont="1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6" fillId="0" borderId="9" xfId="0" applyFont="1" applyBorder="1"/>
    <xf numFmtId="1" fontId="0" fillId="13" borderId="9" xfId="0" applyNumberFormat="1" applyFill="1" applyBorder="1"/>
    <xf numFmtId="0" fontId="10" fillId="0" borderId="0" xfId="0" applyFont="1"/>
    <xf numFmtId="0" fontId="7" fillId="0" borderId="14" xfId="0" applyFont="1" applyBorder="1"/>
    <xf numFmtId="0" fontId="12" fillId="0" borderId="0" xfId="0" applyFont="1"/>
    <xf numFmtId="0" fontId="1" fillId="3" borderId="0" xfId="0" applyFont="1" applyFill="1" applyProtection="1"/>
    <xf numFmtId="0" fontId="1" fillId="0" borderId="0" xfId="0" applyFont="1" applyProtection="1"/>
    <xf numFmtId="0" fontId="2" fillId="4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4" borderId="4" xfId="0" applyFont="1" applyFill="1" applyBorder="1" applyProtection="1"/>
    <xf numFmtId="0" fontId="2" fillId="3" borderId="0" xfId="0" applyFont="1" applyFill="1" applyAlignment="1" applyProtection="1"/>
    <xf numFmtId="0" fontId="2" fillId="6" borderId="1" xfId="0" applyFont="1" applyFill="1" applyBorder="1" applyAlignment="1" applyProtection="1">
      <alignment horizontal="center"/>
    </xf>
    <xf numFmtId="0" fontId="1" fillId="11" borderId="0" xfId="0" applyFont="1" applyFill="1" applyProtection="1"/>
    <xf numFmtId="0" fontId="2" fillId="7" borderId="4" xfId="0" applyFont="1" applyFill="1" applyBorder="1" applyAlignment="1" applyProtection="1"/>
    <xf numFmtId="0" fontId="4" fillId="8" borderId="1" xfId="0" applyFont="1" applyFill="1" applyBorder="1" applyAlignment="1" applyProtection="1">
      <alignment horizontal="center"/>
    </xf>
    <xf numFmtId="0" fontId="4" fillId="4" borderId="1" xfId="0" applyFont="1" applyFill="1" applyBorder="1" applyProtection="1"/>
    <xf numFmtId="0" fontId="4" fillId="4" borderId="0" xfId="0" applyFont="1" applyFill="1" applyProtection="1"/>
    <xf numFmtId="0" fontId="1" fillId="4" borderId="0" xfId="0" applyFont="1" applyFill="1" applyProtection="1"/>
    <xf numFmtId="0" fontId="4" fillId="4" borderId="7" xfId="0" applyFont="1" applyFill="1" applyBorder="1" applyProtection="1"/>
    <xf numFmtId="0" fontId="1" fillId="4" borderId="8" xfId="0" applyFont="1" applyFill="1" applyBorder="1" applyProtection="1"/>
    <xf numFmtId="0" fontId="2" fillId="9" borderId="1" xfId="0" applyFont="1" applyFill="1" applyBorder="1" applyAlignment="1" applyProtection="1">
      <alignment horizontal="center"/>
    </xf>
    <xf numFmtId="0" fontId="1" fillId="4" borderId="7" xfId="0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Alignment="1" applyProtection="1">
      <alignment horizontal="center"/>
    </xf>
    <xf numFmtId="16" fontId="2" fillId="9" borderId="1" xfId="0" quotePrefix="1" applyNumberFormat="1" applyFont="1" applyFill="1" applyBorder="1" applyAlignment="1" applyProtection="1">
      <alignment horizontal="center"/>
    </xf>
    <xf numFmtId="0" fontId="2" fillId="9" borderId="1" xfId="0" applyFont="1" applyFill="1" applyBorder="1" applyProtection="1"/>
    <xf numFmtId="0" fontId="2" fillId="9" borderId="1" xfId="0" applyFont="1" applyFill="1" applyBorder="1" applyAlignment="1" applyProtection="1">
      <alignment horizontal="right"/>
    </xf>
    <xf numFmtId="0" fontId="2" fillId="9" borderId="1" xfId="0" quotePrefix="1" applyFont="1" applyFill="1" applyBorder="1" applyAlignment="1" applyProtection="1">
      <alignment horizontal="center"/>
    </xf>
    <xf numFmtId="0" fontId="2" fillId="6" borderId="1" xfId="0" applyFont="1" applyFill="1" applyBorder="1" applyProtection="1"/>
    <xf numFmtId="0" fontId="4" fillId="3" borderId="0" xfId="0" applyFont="1" applyFill="1" applyProtection="1"/>
    <xf numFmtId="17" fontId="2" fillId="9" borderId="1" xfId="0" quotePrefix="1" applyNumberFormat="1" applyFont="1" applyFill="1" applyBorder="1" applyAlignment="1" applyProtection="1">
      <alignment horizontal="center"/>
    </xf>
    <xf numFmtId="0" fontId="2" fillId="10" borderId="1" xfId="0" applyFont="1" applyFill="1" applyBorder="1" applyProtection="1"/>
    <xf numFmtId="0" fontId="3" fillId="3" borderId="0" xfId="0" applyFont="1" applyFill="1" applyProtection="1"/>
    <xf numFmtId="0" fontId="5" fillId="3" borderId="0" xfId="0" applyFont="1" applyFill="1" applyProtection="1"/>
    <xf numFmtId="0" fontId="5" fillId="11" borderId="0" xfId="0" applyFont="1" applyFill="1" applyProtection="1"/>
    <xf numFmtId="0" fontId="2" fillId="12" borderId="1" xfId="0" applyFont="1" applyFill="1" applyBorder="1" applyProtection="1"/>
    <xf numFmtId="0" fontId="3" fillId="11" borderId="0" xfId="0" applyFont="1" applyFill="1" applyProtection="1"/>
    <xf numFmtId="0" fontId="0" fillId="3" borderId="0" xfId="0" applyFont="1" applyFill="1" applyAlignment="1" applyProtection="1"/>
    <xf numFmtId="0" fontId="2" fillId="10" borderId="2" xfId="0" applyFont="1" applyFill="1" applyBorder="1" applyAlignment="1" applyProtection="1"/>
    <xf numFmtId="0" fontId="2" fillId="10" borderId="4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3" fillId="3" borderId="0" xfId="0" applyFont="1" applyFill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/>
    </xf>
    <xf numFmtId="0" fontId="2" fillId="7" borderId="4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2" fillId="10" borderId="2" xfId="0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/>
    </xf>
    <xf numFmtId="0" fontId="2" fillId="12" borderId="2" xfId="0" applyFont="1" applyFill="1" applyBorder="1" applyAlignment="1" applyProtection="1">
      <alignment horizontal="center"/>
    </xf>
    <xf numFmtId="0" fontId="2" fillId="12" borderId="4" xfId="0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164" fontId="9" fillId="0" borderId="12" xfId="0" quotePrefix="1" applyNumberFormat="1" applyFont="1" applyBorder="1" applyAlignment="1">
      <alignment horizontal="center"/>
    </xf>
    <xf numFmtId="164" fontId="9" fillId="0" borderId="11" xfId="0" quotePrefix="1" applyNumberFormat="1" applyFont="1" applyBorder="1" applyAlignment="1">
      <alignment horizontal="center"/>
    </xf>
    <xf numFmtId="164" fontId="9" fillId="0" borderId="13" xfId="0" quotePrefix="1" applyNumberFormat="1" applyFont="1" applyBorder="1" applyAlignment="1">
      <alignment horizontal="center"/>
    </xf>
    <xf numFmtId="0" fontId="7" fillId="0" borderId="12" xfId="0" applyFont="1" applyBorder="1" applyAlignment="1">
      <alignment horizontal="left" shrinkToFit="1"/>
    </xf>
    <xf numFmtId="0" fontId="7" fillId="0" borderId="11" xfId="0" applyFont="1" applyBorder="1" applyAlignment="1">
      <alignment horizontal="left" shrinkToFit="1"/>
    </xf>
    <xf numFmtId="0" fontId="7" fillId="0" borderId="13" xfId="0" applyFont="1" applyBorder="1" applyAlignment="1">
      <alignment horizontal="left" shrinkToFit="1"/>
    </xf>
    <xf numFmtId="0" fontId="9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 shrinkToFit="1"/>
    </xf>
    <xf numFmtId="0" fontId="0" fillId="13" borderId="12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AFA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tabSelected="1" workbookViewId="0">
      <selection activeCell="I1" sqref="I1"/>
    </sheetView>
  </sheetViews>
  <sheetFormatPr defaultRowHeight="15" x14ac:dyDescent="0.2"/>
  <cols>
    <col min="1" max="16384" width="9.140625" style="36"/>
  </cols>
  <sheetData>
    <row r="3" spans="1:2" ht="15.75" x14ac:dyDescent="0.25">
      <c r="A3" s="36">
        <v>1</v>
      </c>
      <c r="B3" s="28" t="s">
        <v>143</v>
      </c>
    </row>
    <row r="5" spans="1:2" x14ac:dyDescent="0.2">
      <c r="B5" s="36" t="s">
        <v>148</v>
      </c>
    </row>
    <row r="7" spans="1:2" ht="15.75" x14ac:dyDescent="0.25">
      <c r="B7" s="28" t="s">
        <v>163</v>
      </c>
    </row>
    <row r="8" spans="1:2" x14ac:dyDescent="0.2">
      <c r="B8" s="36" t="s">
        <v>144</v>
      </c>
    </row>
    <row r="9" spans="1:2" x14ac:dyDescent="0.2">
      <c r="B9" s="36" t="s">
        <v>149</v>
      </c>
    </row>
    <row r="11" spans="1:2" ht="15.75" x14ac:dyDescent="0.25">
      <c r="A11" s="36">
        <v>2</v>
      </c>
      <c r="B11" s="28" t="s">
        <v>145</v>
      </c>
    </row>
    <row r="12" spans="1:2" x14ac:dyDescent="0.2">
      <c r="B12" s="36" t="s">
        <v>155</v>
      </c>
    </row>
    <row r="13" spans="1:2" x14ac:dyDescent="0.2">
      <c r="B13" s="36" t="s">
        <v>164</v>
      </c>
    </row>
    <row r="15" spans="1:2" ht="15.75" x14ac:dyDescent="0.25">
      <c r="A15" s="36">
        <v>3</v>
      </c>
      <c r="B15" s="28" t="s">
        <v>146</v>
      </c>
    </row>
    <row r="16" spans="1:2" x14ac:dyDescent="0.2">
      <c r="B16" s="36" t="s">
        <v>150</v>
      </c>
    </row>
    <row r="17" spans="2:2" x14ac:dyDescent="0.2">
      <c r="B17" s="36" t="s">
        <v>147</v>
      </c>
    </row>
    <row r="18" spans="2:2" x14ac:dyDescent="0.2">
      <c r="B18" s="36" t="s">
        <v>156</v>
      </c>
    </row>
    <row r="19" spans="2:2" x14ac:dyDescent="0.2">
      <c r="B19" s="36" t="s">
        <v>165</v>
      </c>
    </row>
    <row r="21" spans="2:2" x14ac:dyDescent="0.2">
      <c r="B21" s="38" t="s">
        <v>166</v>
      </c>
    </row>
    <row r="22" spans="2:2" x14ac:dyDescent="0.2">
      <c r="B22" s="38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showGridLines="0" showRowColHeaders="0" zoomScale="115" zoomScaleNormal="115" workbookViewId="0">
      <selection activeCell="C3" sqref="C3"/>
    </sheetView>
  </sheetViews>
  <sheetFormatPr defaultRowHeight="17.100000000000001" customHeight="1" x14ac:dyDescent="0.3"/>
  <cols>
    <col min="1" max="1" width="5.5703125" style="40" customWidth="1"/>
    <col min="2" max="2" width="15.140625" style="40" customWidth="1"/>
    <col min="3" max="3" width="14.7109375" style="40" customWidth="1"/>
    <col min="4" max="4" width="13.42578125" style="40" customWidth="1"/>
    <col min="5" max="5" width="4.42578125" style="40" customWidth="1"/>
    <col min="6" max="6" width="14.42578125" style="40" customWidth="1"/>
    <col min="7" max="7" width="13.7109375" style="40" customWidth="1"/>
    <col min="8" max="8" width="13.140625" style="40" customWidth="1"/>
    <col min="9" max="9" width="4.5703125" style="40" customWidth="1"/>
    <col min="10" max="10" width="12.5703125" style="40" customWidth="1"/>
    <col min="11" max="11" width="14" style="40" customWidth="1"/>
    <col min="12" max="12" width="10.42578125" style="40" customWidth="1"/>
    <col min="13" max="13" width="14.42578125" style="40" customWidth="1"/>
    <col min="14" max="16" width="9.140625" style="40"/>
    <col min="17" max="17" width="5.140625" style="40" customWidth="1"/>
    <col min="18" max="29" width="9.140625" style="40"/>
    <col min="30" max="30" width="11.42578125" style="40" hidden="1" customWidth="1"/>
    <col min="31" max="31" width="11.5703125" style="40" hidden="1" customWidth="1"/>
    <col min="32" max="32" width="9.85546875" style="40" hidden="1" customWidth="1"/>
    <col min="33" max="16384" width="9.140625" style="40"/>
  </cols>
  <sheetData>
    <row r="1" spans="1:32" ht="17.100000000000001" customHeight="1" x14ac:dyDescent="0.3">
      <c r="A1" s="76" t="s">
        <v>167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9"/>
      <c r="R1" s="39"/>
    </row>
    <row r="2" spans="1:32" ht="17.100000000000001" customHeight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32" ht="17.100000000000001" customHeight="1" thickBot="1" x14ac:dyDescent="0.35">
      <c r="A3" s="39"/>
      <c r="B3" s="41" t="s">
        <v>0</v>
      </c>
      <c r="C3" s="1">
        <v>30</v>
      </c>
      <c r="D3" s="39"/>
      <c r="E3" s="39"/>
      <c r="F3" s="83" t="s">
        <v>1</v>
      </c>
      <c r="G3" s="84"/>
      <c r="H3" s="84"/>
      <c r="I3" s="84"/>
      <c r="J3" s="85"/>
      <c r="K3" s="2">
        <v>1300000</v>
      </c>
      <c r="L3" s="39"/>
      <c r="M3" s="39"/>
      <c r="N3" s="39"/>
      <c r="O3" s="39"/>
      <c r="P3" s="39"/>
      <c r="Q3" s="39"/>
      <c r="R3" s="39"/>
    </row>
    <row r="4" spans="1:32" ht="17.100000000000001" customHeight="1" thickBot="1" x14ac:dyDescent="0.35">
      <c r="A4" s="39"/>
      <c r="B4" s="42"/>
      <c r="C4" s="75"/>
      <c r="D4" s="39"/>
      <c r="E4" s="39"/>
      <c r="F4" s="86" t="s">
        <v>158</v>
      </c>
      <c r="G4" s="87"/>
      <c r="H4" s="87"/>
      <c r="I4" s="87"/>
      <c r="J4" s="88"/>
      <c r="K4" s="43">
        <v>75000</v>
      </c>
      <c r="L4" s="39"/>
      <c r="M4" s="39"/>
      <c r="N4" s="39"/>
      <c r="O4" s="39"/>
      <c r="P4" s="39"/>
      <c r="Q4" s="39"/>
      <c r="R4" s="39"/>
    </row>
    <row r="5" spans="1:32" ht="17.100000000000001" customHeight="1" thickBot="1" x14ac:dyDescent="0.35">
      <c r="A5" s="39"/>
      <c r="B5" s="39"/>
      <c r="C5" s="39"/>
      <c r="D5" s="39"/>
      <c r="E5" s="39"/>
      <c r="F5" s="86" t="s">
        <v>159</v>
      </c>
      <c r="G5" s="87"/>
      <c r="H5" s="87"/>
      <c r="I5" s="87"/>
      <c r="J5" s="88"/>
      <c r="K5" s="43">
        <v>50000</v>
      </c>
      <c r="L5" s="39"/>
      <c r="M5" s="39"/>
      <c r="N5" s="39"/>
      <c r="O5" s="39"/>
      <c r="P5" s="39"/>
      <c r="Q5" s="39"/>
      <c r="R5" s="39"/>
    </row>
    <row r="6" spans="1:32" ht="17.100000000000001" customHeight="1" thickBo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32" ht="15" customHeight="1" thickBot="1" x14ac:dyDescent="0.35">
      <c r="A7" s="39"/>
      <c r="B7" s="89" t="s">
        <v>2</v>
      </c>
      <c r="C7" s="90"/>
      <c r="D7" s="91"/>
      <c r="E7" s="44"/>
      <c r="F7" s="89" t="s">
        <v>3</v>
      </c>
      <c r="G7" s="90"/>
      <c r="H7" s="91"/>
      <c r="I7" s="39"/>
      <c r="J7" s="45" t="s">
        <v>4</v>
      </c>
      <c r="K7" s="45" t="s">
        <v>5</v>
      </c>
      <c r="L7" s="45" t="s">
        <v>6</v>
      </c>
      <c r="M7" s="39"/>
      <c r="N7" s="39"/>
      <c r="O7" s="39"/>
      <c r="P7" s="39"/>
      <c r="Q7" s="39"/>
      <c r="R7" s="39"/>
      <c r="W7" s="46"/>
      <c r="AD7" s="40" t="s">
        <v>7</v>
      </c>
      <c r="AE7" s="40" t="s">
        <v>8</v>
      </c>
      <c r="AF7" s="40" t="s">
        <v>9</v>
      </c>
    </row>
    <row r="8" spans="1:32" ht="15" customHeight="1" thickBot="1" x14ac:dyDescent="0.35">
      <c r="A8" s="39"/>
      <c r="B8" s="77" t="s">
        <v>10</v>
      </c>
      <c r="C8" s="78"/>
      <c r="D8" s="47">
        <f>K3-K4</f>
        <v>1225000</v>
      </c>
      <c r="E8" s="39"/>
      <c r="F8" s="77" t="s">
        <v>10</v>
      </c>
      <c r="G8" s="78"/>
      <c r="H8" s="47">
        <f>K3-K14</f>
        <v>1097500</v>
      </c>
      <c r="I8" s="39"/>
      <c r="J8" s="48" t="s">
        <v>11</v>
      </c>
      <c r="K8" s="3">
        <v>2500</v>
      </c>
      <c r="L8" s="49">
        <v>2500</v>
      </c>
      <c r="M8" s="50" t="s">
        <v>12</v>
      </c>
      <c r="N8" s="51"/>
      <c r="O8" s="51"/>
      <c r="P8" s="51"/>
      <c r="Q8" s="51"/>
      <c r="R8" s="39"/>
    </row>
    <row r="9" spans="1:32" ht="15" customHeight="1" thickBot="1" x14ac:dyDescent="0.35">
      <c r="A9" s="39"/>
      <c r="B9" s="79" t="s">
        <v>13</v>
      </c>
      <c r="C9" s="81" t="s">
        <v>14</v>
      </c>
      <c r="D9" s="81" t="s">
        <v>15</v>
      </c>
      <c r="E9" s="39"/>
      <c r="F9" s="79" t="s">
        <v>13</v>
      </c>
      <c r="G9" s="81" t="s">
        <v>14</v>
      </c>
      <c r="H9" s="81" t="s">
        <v>15</v>
      </c>
      <c r="I9" s="39"/>
      <c r="J9" s="48" t="s">
        <v>16</v>
      </c>
      <c r="K9" s="3">
        <v>150000</v>
      </c>
      <c r="L9" s="49">
        <v>150000</v>
      </c>
      <c r="M9" s="50" t="s">
        <v>17</v>
      </c>
      <c r="N9" s="51"/>
      <c r="O9" s="51"/>
      <c r="P9" s="51"/>
      <c r="Q9" s="51"/>
      <c r="R9" s="39"/>
    </row>
    <row r="10" spans="1:32" ht="15" customHeight="1" thickBot="1" x14ac:dyDescent="0.35">
      <c r="A10" s="39"/>
      <c r="B10" s="80"/>
      <c r="C10" s="82"/>
      <c r="D10" s="82"/>
      <c r="E10" s="39"/>
      <c r="F10" s="80"/>
      <c r="G10" s="82"/>
      <c r="H10" s="82"/>
      <c r="I10" s="39"/>
      <c r="J10" s="48" t="s">
        <v>18</v>
      </c>
      <c r="K10" s="3">
        <v>0</v>
      </c>
      <c r="L10" s="49">
        <v>50000</v>
      </c>
      <c r="M10" s="52" t="s">
        <v>19</v>
      </c>
      <c r="N10" s="53"/>
      <c r="O10" s="51"/>
      <c r="P10" s="51"/>
      <c r="Q10" s="51"/>
      <c r="R10" s="39"/>
    </row>
    <row r="11" spans="1:32" ht="15" customHeight="1" thickBot="1" x14ac:dyDescent="0.35">
      <c r="A11" s="39"/>
      <c r="B11" s="54" t="s">
        <v>168</v>
      </c>
      <c r="C11" s="54" t="s">
        <v>20</v>
      </c>
      <c r="D11" s="54" t="s">
        <v>20</v>
      </c>
      <c r="E11" s="39"/>
      <c r="F11" s="54" t="str">
        <f>IF(C3&lt;60,CONCATENATE("0 - "," 2.5"),IF(C3&lt;80, CONCATENATE("0 - ","3"),"" ))</f>
        <v>0 -  2.5</v>
      </c>
      <c r="G11" s="54" t="str">
        <f>IF(C3&lt;80, "Nil","")</f>
        <v>Nil</v>
      </c>
      <c r="H11" s="54" t="str">
        <f>IF($C$3&gt;79,AF11,IF($C$3&gt;59,AE11,AD11))</f>
        <v>Nil</v>
      </c>
      <c r="I11" s="39"/>
      <c r="J11" s="48" t="s">
        <v>21</v>
      </c>
      <c r="K11" s="3">
        <v>0</v>
      </c>
      <c r="L11" s="49" t="s">
        <v>22</v>
      </c>
      <c r="M11" s="55"/>
      <c r="N11" s="56"/>
      <c r="O11" s="50" t="s">
        <v>23</v>
      </c>
      <c r="P11" s="51"/>
      <c r="Q11" s="51"/>
      <c r="R11" s="39"/>
      <c r="AD11" s="57" t="s">
        <v>20</v>
      </c>
      <c r="AE11" s="57" t="s">
        <v>20</v>
      </c>
      <c r="AF11" s="40" t="s">
        <v>24</v>
      </c>
    </row>
    <row r="12" spans="1:32" ht="15" customHeight="1" thickBot="1" x14ac:dyDescent="0.35">
      <c r="A12" s="39"/>
      <c r="B12" s="58" t="s">
        <v>169</v>
      </c>
      <c r="C12" s="54">
        <v>5</v>
      </c>
      <c r="D12" s="59">
        <f>IF(D8&gt;800000,20000,IF(D8&gt;400000,(D8-400000)*5%,0))</f>
        <v>20000</v>
      </c>
      <c r="E12" s="39"/>
      <c r="F12" s="58" t="str">
        <f>IF(C3&lt;60,CONCATENATE("2.5 - ", "5"),IF(C3&lt;80,CONCATENATE("3 - ","5"),CONCATENATE("0 - ","5")))</f>
        <v>2.5 - 5</v>
      </c>
      <c r="G12" s="54">
        <f>IF(C3&lt;80,5,"Nil")</f>
        <v>5</v>
      </c>
      <c r="H12" s="60">
        <f>IF($C$3&gt;79,AF12,IF($C$3&gt;59,AE12,AD12))</f>
        <v>12500</v>
      </c>
      <c r="I12" s="39"/>
      <c r="J12" s="48" t="s">
        <v>25</v>
      </c>
      <c r="K12" s="3">
        <v>0</v>
      </c>
      <c r="L12" s="49">
        <v>200000</v>
      </c>
      <c r="M12" s="50" t="s">
        <v>26</v>
      </c>
      <c r="N12" s="51"/>
      <c r="O12" s="51"/>
      <c r="P12" s="51"/>
      <c r="Q12" s="51"/>
      <c r="R12" s="39"/>
      <c r="AD12" s="40">
        <f>IF(H8&gt;500000,12500,IF(H8&gt;250000,(H8-250000)*5%,0))</f>
        <v>12500</v>
      </c>
      <c r="AE12" s="40">
        <f>IF(H8&gt;500000,10000,IF(H8&gt;300000,(H8-300000)*5%,0))</f>
        <v>10000</v>
      </c>
      <c r="AF12" s="57" t="s">
        <v>20</v>
      </c>
    </row>
    <row r="13" spans="1:32" ht="15" customHeight="1" thickBot="1" x14ac:dyDescent="0.35">
      <c r="A13" s="39"/>
      <c r="B13" s="58" t="s">
        <v>170</v>
      </c>
      <c r="C13" s="54">
        <v>10</v>
      </c>
      <c r="D13" s="59">
        <f>IF(D8&gt;1200000,40000,IF(D8&gt;800000,(D8-800000)*10%,0))</f>
        <v>40000</v>
      </c>
      <c r="E13" s="39"/>
      <c r="F13" s="58" t="s">
        <v>27</v>
      </c>
      <c r="G13" s="54">
        <v>20</v>
      </c>
      <c r="H13" s="60">
        <f>IF($C$3&gt;79,AF13,IF($C$3&gt;59,AE13,AD13))</f>
        <v>100000</v>
      </c>
      <c r="I13" s="39"/>
      <c r="J13" s="48"/>
      <c r="K13" s="3">
        <v>0</v>
      </c>
      <c r="L13" s="49"/>
      <c r="M13" s="50" t="s">
        <v>28</v>
      </c>
      <c r="N13" s="51"/>
      <c r="O13" s="51"/>
      <c r="P13" s="51"/>
      <c r="Q13" s="51"/>
      <c r="R13" s="39"/>
      <c r="AD13" s="40">
        <f>IF(H8&gt;1000000,100000,IF(H8&gt;500000,(H8-500000)*20%,0))</f>
        <v>100000</v>
      </c>
      <c r="AE13" s="40">
        <f>IF(H8&gt;1000000,100000,IF(H8&gt;500000,(H8-500000)*20%,0))</f>
        <v>100000</v>
      </c>
      <c r="AF13" s="40">
        <f>IF(H8&gt;1000000,100000,IF(H8&gt;500000,(H8-500000)*20%,0))</f>
        <v>100000</v>
      </c>
    </row>
    <row r="14" spans="1:32" ht="15" customHeight="1" thickBot="1" x14ac:dyDescent="0.35">
      <c r="A14" s="39"/>
      <c r="B14" s="61" t="s">
        <v>171</v>
      </c>
      <c r="C14" s="54">
        <v>15</v>
      </c>
      <c r="D14" s="59">
        <f>IF(D8&gt;1600000,60000,IF(D8&gt;1200000,(D8-1200000)*15%,0))</f>
        <v>3750</v>
      </c>
      <c r="E14" s="39"/>
      <c r="F14" s="54" t="s">
        <v>29</v>
      </c>
      <c r="G14" s="54">
        <v>30</v>
      </c>
      <c r="H14" s="60">
        <f>IF($C$3&gt;79,AF14,IF($C$3&gt;59,AE14,AD14))</f>
        <v>29250</v>
      </c>
      <c r="I14" s="39"/>
      <c r="J14" s="45" t="s">
        <v>30</v>
      </c>
      <c r="K14" s="62">
        <f>SUM(K5,K8:K13)</f>
        <v>202500</v>
      </c>
      <c r="L14" s="39"/>
      <c r="M14" s="63"/>
      <c r="N14" s="39"/>
      <c r="O14" s="39"/>
      <c r="P14" s="39"/>
      <c r="Q14" s="39"/>
      <c r="R14" s="39"/>
      <c r="AD14" s="40">
        <f>IF(H8&gt;1000000,(H8-1000000)*30%,0)</f>
        <v>29250</v>
      </c>
      <c r="AE14" s="40">
        <f>IF(H8&gt;1000000,(H8-1000000)*30%,0)</f>
        <v>29250</v>
      </c>
      <c r="AF14" s="40">
        <f>IF(H8&gt;1000000,(H8-1000000)*30%,0)</f>
        <v>29250</v>
      </c>
    </row>
    <row r="15" spans="1:32" ht="15" customHeight="1" thickBot="1" x14ac:dyDescent="0.35">
      <c r="A15" s="39"/>
      <c r="B15" s="64" t="s">
        <v>172</v>
      </c>
      <c r="C15" s="54">
        <v>20</v>
      </c>
      <c r="D15" s="59">
        <f>IF(D8&gt;2000000,80000,IF(D8&gt;1600000,(D8-1600000)*20%,0))</f>
        <v>0</v>
      </c>
      <c r="E15" s="39"/>
      <c r="F15" s="64"/>
      <c r="G15" s="54"/>
      <c r="H15" s="5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32" ht="15" customHeight="1" thickBot="1" x14ac:dyDescent="0.35">
      <c r="A16" s="39"/>
      <c r="B16" s="64" t="s">
        <v>173</v>
      </c>
      <c r="C16" s="54">
        <v>25</v>
      </c>
      <c r="D16" s="59">
        <f>IF(D8&gt;2400000,100000,IF(D8&gt;2000000,(D8-2000000)*25%,0))</f>
        <v>0</v>
      </c>
      <c r="E16" s="39"/>
      <c r="F16" s="64"/>
      <c r="G16" s="54"/>
      <c r="H16" s="5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28" ht="15" customHeight="1" thickBot="1" x14ac:dyDescent="0.35">
      <c r="A17" s="39"/>
      <c r="B17" s="54" t="s">
        <v>174</v>
      </c>
      <c r="C17" s="54">
        <v>30</v>
      </c>
      <c r="D17" s="59">
        <f>IF(D8&gt;2400000,(D8-2400000)*30%,0)</f>
        <v>0</v>
      </c>
      <c r="E17" s="39"/>
      <c r="F17" s="54"/>
      <c r="G17" s="54"/>
      <c r="H17" s="5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28" ht="15" customHeight="1" thickBot="1" x14ac:dyDescent="0.35">
      <c r="A18" s="39"/>
      <c r="B18" s="92" t="s">
        <v>31</v>
      </c>
      <c r="C18" s="93"/>
      <c r="D18" s="65">
        <f>SUM(D12:D17)</f>
        <v>63750</v>
      </c>
      <c r="E18" s="39"/>
      <c r="F18" s="92" t="s">
        <v>31</v>
      </c>
      <c r="G18" s="93"/>
      <c r="H18" s="65">
        <f>SUM(H11:H14)</f>
        <v>141750</v>
      </c>
      <c r="I18" s="39"/>
      <c r="J18" s="66" t="str">
        <f>IF(D23&lt;=H22,"NEW TAX REGIME IS RECOMMENDED","OLD TAX REGIME IS RECOMMENDED")</f>
        <v>NEW TAX REGIME IS RECOMMENDED</v>
      </c>
      <c r="K18" s="67"/>
      <c r="L18" s="67"/>
      <c r="M18" s="67"/>
      <c r="N18" s="67"/>
      <c r="O18" s="67"/>
      <c r="P18" s="67"/>
      <c r="Q18" s="67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</row>
    <row r="19" spans="1:28" ht="15" customHeight="1" thickBot="1" x14ac:dyDescent="0.35">
      <c r="A19" s="39"/>
      <c r="B19" s="94" t="s">
        <v>32</v>
      </c>
      <c r="C19" s="95"/>
      <c r="D19" s="69">
        <f>IF(AND(D8&gt;400000,D8&lt;1200001),D18,0)</f>
        <v>0</v>
      </c>
      <c r="E19" s="39"/>
      <c r="F19" s="94" t="s">
        <v>32</v>
      </c>
      <c r="G19" s="95"/>
      <c r="H19" s="69">
        <f>IF(OR(AND(C3&lt;60,H8&gt;250000,H8&lt;500001),AND(C3&lt;80,H8&gt;300000,H8&lt;500001),AND(C3&gt;70,H8&lt;500001)),H18,0)</f>
        <v>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ht="15" customHeight="1" thickBot="1" x14ac:dyDescent="0.35">
      <c r="A20" s="39"/>
      <c r="B20" s="94" t="s">
        <v>161</v>
      </c>
      <c r="C20" s="95"/>
      <c r="D20" s="69">
        <f>IF(AND(D8&gt;1200000,D8&lt;1270588),D18-D8+1200000,0)</f>
        <v>38750</v>
      </c>
      <c r="E20" s="39"/>
      <c r="F20" s="92" t="s">
        <v>36</v>
      </c>
      <c r="G20" s="93"/>
      <c r="H20" s="65">
        <f>H18-H19</f>
        <v>141750</v>
      </c>
      <c r="I20" s="39"/>
      <c r="J20" s="66" t="s">
        <v>34</v>
      </c>
      <c r="K20" s="39"/>
      <c r="L20" s="66">
        <f>ABS(D23-H22)</f>
        <v>121420</v>
      </c>
      <c r="M20" s="39"/>
      <c r="N20" s="39"/>
      <c r="O20" s="39"/>
      <c r="P20" s="39"/>
      <c r="Q20" s="39"/>
      <c r="R20" s="39"/>
      <c r="S20" s="46"/>
      <c r="T20" s="46"/>
      <c r="U20" s="46"/>
      <c r="V20" s="46"/>
      <c r="W20" s="46"/>
      <c r="X20" s="46"/>
      <c r="Y20" s="46"/>
      <c r="Z20" s="46"/>
      <c r="AA20" s="70"/>
      <c r="AB20" s="46"/>
    </row>
    <row r="21" spans="1:28" ht="15" customHeight="1" thickBot="1" x14ac:dyDescent="0.35">
      <c r="A21" s="39"/>
      <c r="B21" s="92" t="s">
        <v>162</v>
      </c>
      <c r="C21" s="93"/>
      <c r="D21" s="65">
        <f>D18-D19-D20</f>
        <v>25000</v>
      </c>
      <c r="E21" s="39"/>
      <c r="F21" s="92" t="s">
        <v>33</v>
      </c>
      <c r="G21" s="93"/>
      <c r="H21" s="65">
        <f>ROUND(H20*4%,0)</f>
        <v>5670</v>
      </c>
      <c r="I21" s="39"/>
      <c r="J21" s="71" t="s">
        <v>160</v>
      </c>
      <c r="K21" s="71"/>
      <c r="L21" s="71"/>
      <c r="M21" s="39"/>
      <c r="N21" s="39"/>
      <c r="O21" s="39"/>
      <c r="P21" s="39"/>
      <c r="Q21" s="39"/>
      <c r="R21" s="39"/>
    </row>
    <row r="22" spans="1:28" ht="15" customHeight="1" thickBot="1" x14ac:dyDescent="0.35">
      <c r="A22" s="39"/>
      <c r="B22" s="72" t="s">
        <v>33</v>
      </c>
      <c r="C22" s="73"/>
      <c r="D22" s="65">
        <f>ROUND(D21*4%,0)</f>
        <v>1000</v>
      </c>
      <c r="E22" s="39"/>
      <c r="F22" s="86" t="s">
        <v>35</v>
      </c>
      <c r="G22" s="88"/>
      <c r="H22" s="74">
        <f>H20+H21</f>
        <v>147420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28" ht="15" customHeight="1" thickBot="1" x14ac:dyDescent="0.35">
      <c r="A23" s="39"/>
      <c r="B23" s="86" t="s">
        <v>35</v>
      </c>
      <c r="C23" s="88"/>
      <c r="D23" s="74">
        <f>D21+D22</f>
        <v>26000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28" ht="17.100000000000001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28" ht="17.100000000000001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28" ht="17.100000000000001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8" ht="17.100000000000001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28" ht="17.100000000000001" customHeigh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8" ht="17.100000000000001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</sheetData>
  <sheetProtection password="C5CF" sheet="1" objects="1" scenarios="1" selectLockedCells="1"/>
  <protectedRanges>
    <protectedRange sqref="K8:K13" name="Range3"/>
    <protectedRange sqref="K3" name="Range2"/>
    <protectedRange sqref="C3" name="Range1"/>
  </protectedRanges>
  <mergeCells count="24">
    <mergeCell ref="B23:C23"/>
    <mergeCell ref="F22:G22"/>
    <mergeCell ref="F20:G20"/>
    <mergeCell ref="H9:H10"/>
    <mergeCell ref="B21:C21"/>
    <mergeCell ref="B18:C18"/>
    <mergeCell ref="F18:G18"/>
    <mergeCell ref="B19:C19"/>
    <mergeCell ref="F19:G19"/>
    <mergeCell ref="F21:G21"/>
    <mergeCell ref="B20:C20"/>
    <mergeCell ref="A1:P1"/>
    <mergeCell ref="B8:C8"/>
    <mergeCell ref="F8:G8"/>
    <mergeCell ref="B9:B10"/>
    <mergeCell ref="C9:C10"/>
    <mergeCell ref="D9:D10"/>
    <mergeCell ref="F9:F10"/>
    <mergeCell ref="G9:G10"/>
    <mergeCell ref="F3:J3"/>
    <mergeCell ref="F5:J5"/>
    <mergeCell ref="B7:D7"/>
    <mergeCell ref="F7:H7"/>
    <mergeCell ref="F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RowColHeaders="0" topLeftCell="A21" workbookViewId="0">
      <selection sqref="A1:J1"/>
    </sheetView>
  </sheetViews>
  <sheetFormatPr defaultRowHeight="12.75" x14ac:dyDescent="0.2"/>
  <cols>
    <col min="1" max="1" width="9.7109375" style="4" customWidth="1"/>
    <col min="2" max="2" width="7.42578125" style="4" customWidth="1"/>
    <col min="3" max="3" width="7.28515625" style="4" customWidth="1"/>
    <col min="4" max="5" width="8" style="4" customWidth="1"/>
    <col min="6" max="6" width="7.85546875" style="4" customWidth="1"/>
    <col min="7" max="7" width="7.7109375" style="4" customWidth="1"/>
    <col min="8" max="8" width="8.42578125" style="4" customWidth="1"/>
    <col min="9" max="9" width="8.28515625" style="4" customWidth="1"/>
    <col min="10" max="10" width="10" style="4" customWidth="1"/>
    <col min="11" max="16384" width="9.140625" style="4"/>
  </cols>
  <sheetData>
    <row r="1" spans="1:10" ht="15" customHeight="1" x14ac:dyDescent="0.25">
      <c r="A1" s="96" t="s">
        <v>187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25" customHeight="1" x14ac:dyDescent="0.2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9.9499999999999993" customHeight="1" x14ac:dyDescent="0.2"/>
    <row r="4" spans="1:10" ht="15" customHeight="1" x14ac:dyDescent="0.25">
      <c r="A4" s="101" t="s">
        <v>38</v>
      </c>
      <c r="B4" s="101"/>
      <c r="C4" s="101"/>
      <c r="D4" s="101"/>
      <c r="E4" s="102" t="s">
        <v>39</v>
      </c>
      <c r="F4" s="103"/>
      <c r="G4" s="104"/>
      <c r="H4" s="102" t="s">
        <v>40</v>
      </c>
      <c r="I4" s="103"/>
      <c r="J4" s="104"/>
    </row>
    <row r="5" spans="1:10" ht="15" customHeight="1" x14ac:dyDescent="0.25">
      <c r="A5" s="105"/>
      <c r="B5" s="105"/>
      <c r="C5" s="105"/>
      <c r="D5" s="105"/>
      <c r="E5" s="106"/>
      <c r="F5" s="107"/>
      <c r="G5" s="108"/>
      <c r="H5" s="106"/>
      <c r="I5" s="107"/>
      <c r="J5" s="108"/>
    </row>
    <row r="6" spans="1:10" ht="15" customHeight="1" x14ac:dyDescent="0.25">
      <c r="A6" s="101" t="s">
        <v>41</v>
      </c>
      <c r="B6" s="101"/>
      <c r="C6" s="101"/>
      <c r="D6" s="101"/>
      <c r="E6" s="102" t="s">
        <v>152</v>
      </c>
      <c r="F6" s="103"/>
      <c r="G6" s="104"/>
      <c r="H6" s="102" t="s">
        <v>42</v>
      </c>
      <c r="I6" s="103"/>
      <c r="J6" s="104"/>
    </row>
    <row r="7" spans="1:10" ht="15" customHeight="1" x14ac:dyDescent="0.25">
      <c r="A7" s="105"/>
      <c r="B7" s="105"/>
      <c r="C7" s="105"/>
      <c r="D7" s="105"/>
      <c r="E7" s="109" t="s">
        <v>175</v>
      </c>
      <c r="F7" s="110"/>
      <c r="G7" s="111"/>
      <c r="H7" s="109" t="s">
        <v>176</v>
      </c>
      <c r="I7" s="110"/>
      <c r="J7" s="111"/>
    </row>
    <row r="8" spans="1:10" ht="15" customHeight="1" x14ac:dyDescent="0.2"/>
    <row r="9" spans="1:10" ht="15" customHeight="1" x14ac:dyDescent="0.2">
      <c r="J9" s="5" t="s">
        <v>43</v>
      </c>
    </row>
    <row r="10" spans="1:10" ht="15" customHeight="1" x14ac:dyDescent="0.2">
      <c r="A10" s="4" t="s">
        <v>44</v>
      </c>
      <c r="H10" s="6" t="s">
        <v>45</v>
      </c>
      <c r="J10" s="4">
        <f>F45-G45</f>
        <v>0</v>
      </c>
    </row>
    <row r="11" spans="1:10" ht="15" customHeight="1" x14ac:dyDescent="0.2">
      <c r="A11" s="4" t="s">
        <v>46</v>
      </c>
      <c r="H11" s="6"/>
      <c r="J11" s="4">
        <v>75000</v>
      </c>
    </row>
    <row r="12" spans="1:10" ht="15" customHeight="1" x14ac:dyDescent="0.2">
      <c r="A12" s="4" t="s">
        <v>47</v>
      </c>
      <c r="H12" s="6" t="s">
        <v>45</v>
      </c>
      <c r="J12" s="4">
        <f>10*ROUND((J10-J11)/10,0)</f>
        <v>-75000</v>
      </c>
    </row>
    <row r="13" spans="1:10" ht="15" customHeight="1" x14ac:dyDescent="0.2">
      <c r="H13" s="6"/>
    </row>
    <row r="14" spans="1:10" ht="15" customHeight="1" x14ac:dyDescent="0.2">
      <c r="A14" s="4" t="s">
        <v>48</v>
      </c>
      <c r="H14" s="6"/>
    </row>
    <row r="15" spans="1:10" ht="15" customHeight="1" x14ac:dyDescent="0.2">
      <c r="B15" s="4" t="s">
        <v>177</v>
      </c>
      <c r="H15" s="6" t="s">
        <v>49</v>
      </c>
    </row>
    <row r="16" spans="1:10" ht="15" customHeight="1" x14ac:dyDescent="0.2">
      <c r="B16" s="4" t="s">
        <v>178</v>
      </c>
      <c r="H16" s="6" t="s">
        <v>50</v>
      </c>
      <c r="J16" s="7">
        <f>ROUND(IF(J12&gt;400000,IF(J12&lt;800001,(J12-400000)*0.05,20000),0),0)</f>
        <v>0</v>
      </c>
    </row>
    <row r="17" spans="1:10" ht="15" customHeight="1" x14ac:dyDescent="0.2">
      <c r="B17" s="4" t="s">
        <v>179</v>
      </c>
      <c r="H17" s="6" t="s">
        <v>51</v>
      </c>
      <c r="J17" s="7">
        <f>ROUND(IF(J12&gt;800000,IF(J12&lt;1200001,(J12-800000)*0.1,40000),0),0)</f>
        <v>0</v>
      </c>
    </row>
    <row r="18" spans="1:10" ht="15" customHeight="1" x14ac:dyDescent="0.2">
      <c r="B18" s="4" t="s">
        <v>180</v>
      </c>
      <c r="H18" s="6" t="s">
        <v>52</v>
      </c>
      <c r="J18" s="7">
        <f>ROUND(IF(J12&gt;1200000,IF(J12&lt;1600001,(J12-1200000)*0.15,60000),0),0)</f>
        <v>0</v>
      </c>
    </row>
    <row r="19" spans="1:10" ht="15" customHeight="1" x14ac:dyDescent="0.2">
      <c r="B19" s="4" t="s">
        <v>181</v>
      </c>
      <c r="H19" s="6" t="s">
        <v>53</v>
      </c>
      <c r="J19" s="7">
        <f>ROUND(IF(J12&gt;1600000,IF(J12&lt;2000001,(J12-1600000)*0.2,80000),0),0)</f>
        <v>0</v>
      </c>
    </row>
    <row r="20" spans="1:10" ht="15" customHeight="1" x14ac:dyDescent="0.2">
      <c r="B20" s="4" t="s">
        <v>182</v>
      </c>
      <c r="H20" s="6" t="s">
        <v>184</v>
      </c>
      <c r="J20" s="7">
        <f>ROUND(IF(J12&gt;2000000,IF(J12&lt;2400001,(J12-2000000)*0.25,100000),0),0)</f>
        <v>0</v>
      </c>
    </row>
    <row r="21" spans="1:10" ht="15" customHeight="1" x14ac:dyDescent="0.2">
      <c r="B21" s="4" t="s">
        <v>183</v>
      </c>
      <c r="H21" s="6" t="s">
        <v>54</v>
      </c>
      <c r="J21" s="8">
        <f>ROUND(IF(J12&gt;2400000,(J12-2400000)*0.3,0),0)</f>
        <v>0</v>
      </c>
    </row>
    <row r="22" spans="1:10" ht="15" customHeight="1" x14ac:dyDescent="0.2">
      <c r="A22" s="9" t="s">
        <v>55</v>
      </c>
      <c r="F22" s="6"/>
      <c r="J22" s="9">
        <f>SUM(J16:J21)</f>
        <v>0</v>
      </c>
    </row>
    <row r="23" spans="1:10" ht="15" customHeight="1" x14ac:dyDescent="0.2">
      <c r="B23" s="4" t="s">
        <v>185</v>
      </c>
      <c r="F23" s="6"/>
      <c r="J23" s="7">
        <f>IF(AND(J12&gt;400000,J12&lt;1200001),J22,0)</f>
        <v>0</v>
      </c>
    </row>
    <row r="24" spans="1:10" ht="15" customHeight="1" x14ac:dyDescent="0.2">
      <c r="B24" s="4" t="s">
        <v>153</v>
      </c>
      <c r="F24" s="6"/>
      <c r="J24" s="8">
        <f>IF(AND(J12&gt;1200000,J12&lt;1270588),J22-J12+1200000,0)</f>
        <v>0</v>
      </c>
    </row>
    <row r="25" spans="1:10" ht="15" customHeight="1" x14ac:dyDescent="0.2">
      <c r="B25" s="4" t="s">
        <v>154</v>
      </c>
      <c r="F25" s="6"/>
      <c r="J25" s="7">
        <f>J22-J23-J24</f>
        <v>0</v>
      </c>
    </row>
    <row r="26" spans="1:10" ht="15" customHeight="1" thickBot="1" x14ac:dyDescent="0.25">
      <c r="B26" s="4" t="s">
        <v>56</v>
      </c>
      <c r="F26" s="6"/>
      <c r="J26" s="37">
        <f>ROUND(J25*0.04,0)</f>
        <v>0</v>
      </c>
    </row>
    <row r="27" spans="1:10" ht="15" customHeight="1" thickTop="1" thickBot="1" x14ac:dyDescent="0.25">
      <c r="A27" s="9" t="s">
        <v>57</v>
      </c>
      <c r="F27" s="6"/>
      <c r="J27" s="37">
        <f>J25+J26</f>
        <v>0</v>
      </c>
    </row>
    <row r="28" spans="1:10" ht="9.9499999999999993" customHeight="1" thickTop="1" x14ac:dyDescent="0.2"/>
    <row r="29" spans="1:10" ht="15" customHeight="1" x14ac:dyDescent="0.2">
      <c r="A29" s="99" t="s">
        <v>186</v>
      </c>
      <c r="B29" s="99"/>
      <c r="C29" s="99"/>
      <c r="D29" s="99"/>
      <c r="E29" s="99"/>
      <c r="F29" s="99"/>
      <c r="G29" s="99"/>
      <c r="H29" s="99"/>
      <c r="I29" s="99"/>
      <c r="J29" s="99"/>
    </row>
    <row r="30" spans="1:10" ht="6" customHeight="1" x14ac:dyDescent="0.25">
      <c r="A30"/>
      <c r="B30"/>
      <c r="C30"/>
      <c r="D30"/>
      <c r="E30"/>
      <c r="F30"/>
      <c r="G30"/>
      <c r="H30"/>
      <c r="I30"/>
      <c r="J30"/>
    </row>
    <row r="31" spans="1:10" ht="19.5" customHeight="1" x14ac:dyDescent="0.25">
      <c r="A31" s="100" t="s">
        <v>58</v>
      </c>
      <c r="B31" s="100" t="s">
        <v>59</v>
      </c>
      <c r="C31" s="100" t="s">
        <v>60</v>
      </c>
      <c r="D31" s="100" t="s">
        <v>61</v>
      </c>
      <c r="E31" s="100" t="s">
        <v>151</v>
      </c>
      <c r="F31" s="100" t="s">
        <v>62</v>
      </c>
      <c r="G31" s="98" t="s">
        <v>63</v>
      </c>
      <c r="H31" s="101"/>
      <c r="I31" s="101"/>
      <c r="J31" s="101"/>
    </row>
    <row r="32" spans="1:10" ht="18" customHeight="1" x14ac:dyDescent="0.2">
      <c r="A32" s="100"/>
      <c r="B32" s="100"/>
      <c r="C32" s="100"/>
      <c r="D32" s="100"/>
      <c r="E32" s="100"/>
      <c r="F32" s="100"/>
      <c r="G32" s="10" t="s">
        <v>64</v>
      </c>
      <c r="H32" s="10" t="s">
        <v>65</v>
      </c>
      <c r="I32" s="10" t="s">
        <v>66</v>
      </c>
      <c r="J32" s="10" t="s">
        <v>67</v>
      </c>
    </row>
    <row r="33" spans="1:10" ht="15" x14ac:dyDescent="0.25">
      <c r="A33" s="11">
        <v>45748</v>
      </c>
      <c r="B33" s="14"/>
      <c r="C33" s="14"/>
      <c r="D33" s="14"/>
      <c r="E33" s="35"/>
      <c r="F33" s="13">
        <f t="shared" ref="F33:F44" si="0">SUM(B33:E33)</f>
        <v>0</v>
      </c>
      <c r="G33" s="14"/>
      <c r="H33" s="14"/>
      <c r="I33" s="14"/>
      <c r="J33" s="14"/>
    </row>
    <row r="34" spans="1:10" ht="15" x14ac:dyDescent="0.25">
      <c r="A34" s="11">
        <v>45778</v>
      </c>
      <c r="B34" s="14"/>
      <c r="C34" s="14"/>
      <c r="D34" s="14"/>
      <c r="E34" s="35"/>
      <c r="F34" s="13">
        <f t="shared" si="0"/>
        <v>0</v>
      </c>
      <c r="G34" s="14"/>
      <c r="H34" s="14"/>
      <c r="I34" s="14"/>
      <c r="J34" s="14"/>
    </row>
    <row r="35" spans="1:10" ht="15" x14ac:dyDescent="0.25">
      <c r="A35" s="11">
        <v>45809</v>
      </c>
      <c r="B35" s="14"/>
      <c r="C35" s="14"/>
      <c r="D35" s="14"/>
      <c r="E35" s="35"/>
      <c r="F35" s="13">
        <f t="shared" si="0"/>
        <v>0</v>
      </c>
      <c r="G35" s="14"/>
      <c r="H35" s="14"/>
      <c r="I35" s="14"/>
      <c r="J35" s="14"/>
    </row>
    <row r="36" spans="1:10" ht="15" x14ac:dyDescent="0.25">
      <c r="A36" s="11">
        <v>45839</v>
      </c>
      <c r="B36" s="14"/>
      <c r="C36" s="14"/>
      <c r="D36" s="14"/>
      <c r="E36" s="35"/>
      <c r="F36" s="13">
        <f t="shared" si="0"/>
        <v>0</v>
      </c>
      <c r="G36" s="14"/>
      <c r="H36" s="14"/>
      <c r="I36" s="14"/>
      <c r="J36" s="14"/>
    </row>
    <row r="37" spans="1:10" ht="15" x14ac:dyDescent="0.25">
      <c r="A37" s="11">
        <v>45870</v>
      </c>
      <c r="B37" s="14"/>
      <c r="C37" s="14"/>
      <c r="D37" s="14"/>
      <c r="E37" s="35"/>
      <c r="F37" s="13">
        <f t="shared" si="0"/>
        <v>0</v>
      </c>
      <c r="G37" s="14"/>
      <c r="H37" s="14"/>
      <c r="I37" s="14"/>
      <c r="J37" s="14"/>
    </row>
    <row r="38" spans="1:10" ht="15" x14ac:dyDescent="0.25">
      <c r="A38" s="11">
        <v>45901</v>
      </c>
      <c r="B38" s="14"/>
      <c r="C38" s="14"/>
      <c r="D38" s="14"/>
      <c r="E38" s="35"/>
      <c r="F38" s="13">
        <f t="shared" si="0"/>
        <v>0</v>
      </c>
      <c r="G38" s="14"/>
      <c r="H38" s="14"/>
      <c r="I38" s="14"/>
      <c r="J38" s="14"/>
    </row>
    <row r="39" spans="1:10" ht="15" x14ac:dyDescent="0.25">
      <c r="A39" s="11">
        <v>45931</v>
      </c>
      <c r="B39" s="14"/>
      <c r="C39" s="14"/>
      <c r="D39" s="14"/>
      <c r="E39" s="35"/>
      <c r="F39" s="13">
        <f t="shared" si="0"/>
        <v>0</v>
      </c>
      <c r="G39" s="14"/>
      <c r="H39" s="14"/>
      <c r="I39" s="14"/>
      <c r="J39" s="14"/>
    </row>
    <row r="40" spans="1:10" ht="15" x14ac:dyDescent="0.25">
      <c r="A40" s="11">
        <v>45962</v>
      </c>
      <c r="B40" s="14"/>
      <c r="C40" s="14"/>
      <c r="D40" s="14"/>
      <c r="E40" s="35"/>
      <c r="F40" s="13">
        <f t="shared" si="0"/>
        <v>0</v>
      </c>
      <c r="G40" s="14"/>
      <c r="H40" s="14"/>
      <c r="I40" s="14"/>
      <c r="J40" s="14"/>
    </row>
    <row r="41" spans="1:10" ht="15" x14ac:dyDescent="0.25">
      <c r="A41" s="11">
        <v>45992</v>
      </c>
      <c r="B41" s="14"/>
      <c r="C41" s="14"/>
      <c r="D41" s="14"/>
      <c r="E41" s="35"/>
      <c r="F41" s="13">
        <f t="shared" si="0"/>
        <v>0</v>
      </c>
      <c r="G41" s="14"/>
      <c r="H41" s="14"/>
      <c r="I41" s="14"/>
      <c r="J41" s="14"/>
    </row>
    <row r="42" spans="1:10" ht="15" x14ac:dyDescent="0.25">
      <c r="A42" s="11">
        <v>46023</v>
      </c>
      <c r="B42" s="14"/>
      <c r="C42" s="14"/>
      <c r="D42" s="14"/>
      <c r="E42" s="35"/>
      <c r="F42" s="13">
        <f t="shared" si="0"/>
        <v>0</v>
      </c>
      <c r="G42" s="14"/>
      <c r="H42" s="14"/>
      <c r="I42" s="14"/>
      <c r="J42" s="14"/>
    </row>
    <row r="43" spans="1:10" ht="15" x14ac:dyDescent="0.25">
      <c r="A43" s="11">
        <v>46054</v>
      </c>
      <c r="B43" s="14"/>
      <c r="C43" s="14"/>
      <c r="D43" s="14"/>
      <c r="E43" s="35"/>
      <c r="F43" s="13">
        <f t="shared" si="0"/>
        <v>0</v>
      </c>
      <c r="G43" s="14"/>
      <c r="H43" s="14"/>
      <c r="I43" s="14"/>
      <c r="J43" s="14"/>
    </row>
    <row r="44" spans="1:10" ht="15" x14ac:dyDescent="0.25">
      <c r="A44" s="11">
        <v>46082</v>
      </c>
      <c r="B44" s="14"/>
      <c r="C44" s="14"/>
      <c r="D44" s="14"/>
      <c r="E44" s="35"/>
      <c r="F44" s="13">
        <f t="shared" si="0"/>
        <v>0</v>
      </c>
      <c r="G44" s="14"/>
      <c r="H44" s="14"/>
      <c r="I44" s="14"/>
      <c r="J44" s="14"/>
    </row>
    <row r="45" spans="1:10" ht="15" x14ac:dyDescent="0.25">
      <c r="A45" s="12"/>
      <c r="B45" s="98" t="s">
        <v>30</v>
      </c>
      <c r="C45" s="98"/>
      <c r="D45" s="98"/>
      <c r="E45" s="98"/>
      <c r="F45" s="12">
        <f>SUM(F33:F44)</f>
        <v>0</v>
      </c>
      <c r="G45" s="12">
        <f>SUM(G33:G44)</f>
        <v>0</v>
      </c>
      <c r="H45" s="12">
        <f t="shared" ref="H45:J45" si="1">SUM(H33:H44)</f>
        <v>0</v>
      </c>
      <c r="I45" s="12">
        <f t="shared" si="1"/>
        <v>0</v>
      </c>
      <c r="J45" s="12">
        <f t="shared" si="1"/>
        <v>0</v>
      </c>
    </row>
    <row r="46" spans="1:10" ht="15" x14ac:dyDescent="0.25">
      <c r="A46"/>
      <c r="B46"/>
      <c r="C46"/>
      <c r="D46"/>
      <c r="E46"/>
      <c r="F46"/>
      <c r="G46"/>
      <c r="H46"/>
      <c r="I46"/>
      <c r="J46"/>
    </row>
    <row r="47" spans="1:10" ht="15" x14ac:dyDescent="0.25">
      <c r="A47"/>
      <c r="B47"/>
      <c r="C47"/>
      <c r="D47"/>
      <c r="E47"/>
      <c r="F47"/>
      <c r="G47"/>
      <c r="H47"/>
      <c r="I47"/>
      <c r="J47"/>
    </row>
    <row r="48" spans="1:10" ht="15" x14ac:dyDescent="0.25">
      <c r="A48"/>
      <c r="B48"/>
      <c r="C48"/>
      <c r="D48"/>
      <c r="E48"/>
      <c r="F48"/>
      <c r="G48"/>
      <c r="H48"/>
      <c r="I48"/>
      <c r="J48"/>
    </row>
    <row r="49" spans="1:10" ht="15" x14ac:dyDescent="0.25">
      <c r="A49" t="s">
        <v>68</v>
      </c>
      <c r="B49"/>
      <c r="C49"/>
      <c r="D49"/>
      <c r="E49"/>
      <c r="F49"/>
      <c r="G49"/>
      <c r="H49" s="4" t="s">
        <v>69</v>
      </c>
      <c r="I49"/>
      <c r="J49"/>
    </row>
  </sheetData>
  <mergeCells count="23">
    <mergeCell ref="H5:J5"/>
    <mergeCell ref="A6:D6"/>
    <mergeCell ref="E6:G6"/>
    <mergeCell ref="H6:J6"/>
    <mergeCell ref="A7:D7"/>
    <mergeCell ref="E7:G7"/>
    <mergeCell ref="H7:J7"/>
    <mergeCell ref="A1:J1"/>
    <mergeCell ref="A2:J2"/>
    <mergeCell ref="B45:E45"/>
    <mergeCell ref="A29:J29"/>
    <mergeCell ref="A31:A32"/>
    <mergeCell ref="B31:B32"/>
    <mergeCell ref="C31:C32"/>
    <mergeCell ref="E31:E32"/>
    <mergeCell ref="F31:F32"/>
    <mergeCell ref="G31:J31"/>
    <mergeCell ref="D31:D32"/>
    <mergeCell ref="A4:D4"/>
    <mergeCell ref="E4:G4"/>
    <mergeCell ref="H4:J4"/>
    <mergeCell ref="A5:D5"/>
    <mergeCell ref="E5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4" workbookViewId="0">
      <selection activeCell="A2" sqref="A2:J2"/>
    </sheetView>
  </sheetViews>
  <sheetFormatPr defaultRowHeight="15" x14ac:dyDescent="0.25"/>
  <cols>
    <col min="1" max="1" width="9.7109375" customWidth="1"/>
    <col min="2" max="4" width="7.5703125" customWidth="1"/>
    <col min="5" max="5" width="9.140625" customWidth="1"/>
    <col min="7" max="8" width="7.5703125" customWidth="1"/>
    <col min="9" max="9" width="10.140625" customWidth="1"/>
    <col min="10" max="10" width="10.7109375" customWidth="1"/>
  </cols>
  <sheetData>
    <row r="1" spans="1:11" ht="15.75" x14ac:dyDescent="0.25">
      <c r="A1" s="96" t="s">
        <v>188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1.25" customHeight="1" x14ac:dyDescent="0.2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15"/>
    </row>
    <row r="3" spans="1:11" ht="6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x14ac:dyDescent="0.25">
      <c r="A4" s="101" t="s">
        <v>38</v>
      </c>
      <c r="B4" s="101"/>
      <c r="C4" s="101"/>
      <c r="D4" s="101"/>
      <c r="E4" s="102" t="s">
        <v>39</v>
      </c>
      <c r="F4" s="103"/>
      <c r="G4" s="104"/>
      <c r="H4" s="102" t="s">
        <v>40</v>
      </c>
      <c r="I4" s="103"/>
      <c r="J4" s="104"/>
    </row>
    <row r="5" spans="1:11" ht="16.5" customHeight="1" x14ac:dyDescent="0.25">
      <c r="A5" s="105"/>
      <c r="B5" s="105"/>
      <c r="C5" s="105"/>
      <c r="D5" s="105"/>
      <c r="E5" s="106"/>
      <c r="F5" s="107"/>
      <c r="G5" s="108"/>
      <c r="H5" s="106"/>
      <c r="I5" s="107"/>
      <c r="J5" s="108"/>
    </row>
    <row r="6" spans="1:11" x14ac:dyDescent="0.25">
      <c r="A6" s="101" t="s">
        <v>41</v>
      </c>
      <c r="B6" s="101"/>
      <c r="C6" s="101"/>
      <c r="D6" s="101"/>
      <c r="E6" s="102" t="s">
        <v>152</v>
      </c>
      <c r="F6" s="103"/>
      <c r="G6" s="104"/>
      <c r="H6" s="102" t="s">
        <v>42</v>
      </c>
      <c r="I6" s="103"/>
      <c r="J6" s="104"/>
    </row>
    <row r="7" spans="1:11" ht="19.5" customHeight="1" x14ac:dyDescent="0.25">
      <c r="A7" s="105"/>
      <c r="B7" s="105"/>
      <c r="C7" s="105"/>
      <c r="D7" s="105"/>
      <c r="E7" s="109" t="s">
        <v>175</v>
      </c>
      <c r="F7" s="110"/>
      <c r="G7" s="111"/>
      <c r="H7" s="109" t="s">
        <v>176</v>
      </c>
      <c r="I7" s="110"/>
      <c r="J7" s="111"/>
    </row>
    <row r="8" spans="1:11" ht="9.75" customHeight="1" x14ac:dyDescent="0.25">
      <c r="B8" s="17"/>
      <c r="C8" s="17"/>
      <c r="D8" s="17"/>
      <c r="E8" s="17"/>
      <c r="F8" s="18"/>
      <c r="G8" s="19"/>
      <c r="H8" s="19"/>
      <c r="I8" s="18"/>
      <c r="J8" s="19"/>
    </row>
    <row r="9" spans="1:11" ht="15.75" x14ac:dyDescent="0.25">
      <c r="A9" s="20" t="s">
        <v>71</v>
      </c>
      <c r="B9" s="21"/>
      <c r="C9" s="21"/>
      <c r="D9" s="21"/>
      <c r="E9" s="21"/>
      <c r="F9" s="21"/>
      <c r="G9" s="21"/>
      <c r="H9" s="22" t="s">
        <v>72</v>
      </c>
      <c r="I9" s="23"/>
      <c r="J9" s="24">
        <f>F97</f>
        <v>0</v>
      </c>
    </row>
    <row r="10" spans="1:11" x14ac:dyDescent="0.25">
      <c r="A10" s="21"/>
      <c r="B10" s="23" t="s">
        <v>73</v>
      </c>
      <c r="C10" s="21"/>
      <c r="D10" s="21"/>
      <c r="E10" s="21"/>
      <c r="F10" s="21"/>
      <c r="G10" s="21"/>
      <c r="H10" s="21"/>
      <c r="I10" s="21"/>
      <c r="J10" s="21"/>
    </row>
    <row r="11" spans="1:11" ht="9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1" x14ac:dyDescent="0.25">
      <c r="A12" s="23" t="s">
        <v>74</v>
      </c>
      <c r="B12" s="21"/>
      <c r="C12" s="21"/>
      <c r="D12" s="21"/>
      <c r="E12" s="21"/>
      <c r="F12" s="21"/>
      <c r="G12" s="21"/>
      <c r="H12" s="22" t="s">
        <v>72</v>
      </c>
      <c r="I12" s="21">
        <f>G97</f>
        <v>0</v>
      </c>
      <c r="J12" s="21"/>
    </row>
    <row r="13" spans="1:11" x14ac:dyDescent="0.25">
      <c r="A13" s="23" t="s">
        <v>75</v>
      </c>
      <c r="B13" s="21"/>
      <c r="C13" s="21"/>
      <c r="D13" s="21"/>
      <c r="E13" s="21"/>
      <c r="F13" s="21"/>
      <c r="G13" s="21"/>
      <c r="H13" s="22" t="s">
        <v>72</v>
      </c>
      <c r="I13" s="21">
        <f>J97</f>
        <v>0</v>
      </c>
      <c r="J13" s="21"/>
    </row>
    <row r="14" spans="1:11" x14ac:dyDescent="0.25">
      <c r="A14" s="4" t="s">
        <v>76</v>
      </c>
      <c r="H14" s="6" t="s">
        <v>72</v>
      </c>
      <c r="I14" s="25"/>
    </row>
    <row r="15" spans="1:11" x14ac:dyDescent="0.25">
      <c r="A15" s="4" t="s">
        <v>77</v>
      </c>
    </row>
    <row r="16" spans="1:11" x14ac:dyDescent="0.25">
      <c r="A16" s="4" t="s">
        <v>78</v>
      </c>
      <c r="H16" s="26" t="s">
        <v>72</v>
      </c>
      <c r="I16">
        <v>50000</v>
      </c>
    </row>
    <row r="17" spans="1:10" x14ac:dyDescent="0.25">
      <c r="A17" s="4" t="s">
        <v>79</v>
      </c>
      <c r="H17" s="6" t="s">
        <v>72</v>
      </c>
      <c r="I17" s="27"/>
    </row>
    <row r="18" spans="1:10" x14ac:dyDescent="0.25">
      <c r="A18" s="4" t="s">
        <v>80</v>
      </c>
      <c r="I18" s="27"/>
    </row>
    <row r="19" spans="1:10" x14ac:dyDescent="0.25">
      <c r="A19" s="4" t="s">
        <v>81</v>
      </c>
    </row>
    <row r="20" spans="1:10" ht="6" customHeight="1" x14ac:dyDescent="0.25">
      <c r="A20" s="4"/>
    </row>
    <row r="21" spans="1:10" x14ac:dyDescent="0.25">
      <c r="A21" s="9" t="s">
        <v>82</v>
      </c>
      <c r="H21" s="6" t="s">
        <v>72</v>
      </c>
      <c r="I21">
        <f>SUM(I12,I13,I14,I16,I17,I18)</f>
        <v>50000</v>
      </c>
    </row>
    <row r="22" spans="1:10" ht="9.75" customHeight="1" x14ac:dyDescent="0.25"/>
    <row r="23" spans="1:10" ht="15.75" x14ac:dyDescent="0.25">
      <c r="A23" s="9" t="s">
        <v>83</v>
      </c>
      <c r="H23" s="6" t="s">
        <v>72</v>
      </c>
      <c r="J23" s="28">
        <f>J9-I21</f>
        <v>-50000</v>
      </c>
    </row>
    <row r="24" spans="1:10" ht="10.5" customHeight="1" x14ac:dyDescent="0.25"/>
    <row r="25" spans="1:10" x14ac:dyDescent="0.25">
      <c r="A25" s="9" t="s">
        <v>84</v>
      </c>
    </row>
    <row r="26" spans="1:10" ht="14.1" customHeight="1" x14ac:dyDescent="0.25">
      <c r="A26" s="9" t="s">
        <v>85</v>
      </c>
    </row>
    <row r="27" spans="1:10" ht="14.1" customHeight="1" x14ac:dyDescent="0.25">
      <c r="A27" s="4" t="s">
        <v>86</v>
      </c>
      <c r="H27" s="6"/>
    </row>
    <row r="28" spans="1:10" x14ac:dyDescent="0.25">
      <c r="A28" s="4" t="s">
        <v>87</v>
      </c>
      <c r="H28" s="6" t="s">
        <v>72</v>
      </c>
      <c r="I28" s="25"/>
    </row>
    <row r="29" spans="1:10" x14ac:dyDescent="0.25">
      <c r="A29" s="4" t="s">
        <v>88</v>
      </c>
      <c r="H29" s="6" t="s">
        <v>72</v>
      </c>
      <c r="I29">
        <f>H97</f>
        <v>0</v>
      </c>
    </row>
    <row r="30" spans="1:10" x14ac:dyDescent="0.25">
      <c r="A30" s="4" t="s">
        <v>89</v>
      </c>
      <c r="H30" s="6" t="s">
        <v>72</v>
      </c>
      <c r="I30" s="25"/>
    </row>
    <row r="31" spans="1:10" x14ac:dyDescent="0.25">
      <c r="A31" s="4" t="s">
        <v>90</v>
      </c>
      <c r="H31" s="6" t="s">
        <v>72</v>
      </c>
      <c r="I31" s="25"/>
    </row>
    <row r="32" spans="1:10" x14ac:dyDescent="0.25">
      <c r="A32" s="4" t="s">
        <v>91</v>
      </c>
      <c r="H32" s="6"/>
    </row>
    <row r="33" spans="1:9" x14ac:dyDescent="0.25">
      <c r="A33" s="4" t="s">
        <v>92</v>
      </c>
      <c r="H33" s="6" t="s">
        <v>72</v>
      </c>
      <c r="I33" s="25"/>
    </row>
    <row r="34" spans="1:9" x14ac:dyDescent="0.25">
      <c r="A34" s="4" t="s">
        <v>93</v>
      </c>
      <c r="H34" s="6" t="s">
        <v>72</v>
      </c>
      <c r="I34" s="25"/>
    </row>
    <row r="35" spans="1:9" x14ac:dyDescent="0.25">
      <c r="A35" s="4" t="s">
        <v>94</v>
      </c>
      <c r="H35" s="6" t="s">
        <v>72</v>
      </c>
      <c r="I35" s="25"/>
    </row>
    <row r="36" spans="1:9" x14ac:dyDescent="0.25">
      <c r="A36" s="4" t="s">
        <v>95</v>
      </c>
    </row>
    <row r="37" spans="1:9" x14ac:dyDescent="0.25">
      <c r="A37" s="4" t="s">
        <v>96</v>
      </c>
    </row>
    <row r="38" spans="1:9" x14ac:dyDescent="0.25">
      <c r="A38" s="4" t="s">
        <v>97</v>
      </c>
    </row>
    <row r="39" spans="1:9" x14ac:dyDescent="0.25">
      <c r="A39" s="4" t="s">
        <v>98</v>
      </c>
      <c r="H39" s="6" t="s">
        <v>72</v>
      </c>
      <c r="I39" s="25"/>
    </row>
    <row r="40" spans="1:9" x14ac:dyDescent="0.25">
      <c r="A40" s="4" t="s">
        <v>99</v>
      </c>
    </row>
    <row r="41" spans="1:9" x14ac:dyDescent="0.25">
      <c r="A41" s="4" t="s">
        <v>100</v>
      </c>
      <c r="H41" s="6" t="s">
        <v>72</v>
      </c>
      <c r="I41" s="25"/>
    </row>
    <row r="42" spans="1:9" ht="9.75" customHeight="1" x14ac:dyDescent="0.25"/>
    <row r="43" spans="1:9" x14ac:dyDescent="0.25">
      <c r="A43" s="9" t="s">
        <v>101</v>
      </c>
      <c r="H43" s="6" t="s">
        <v>72</v>
      </c>
      <c r="I43">
        <f>IF(SUM(I28:I31,I33:I35,I39,I41)&lt;150000,SUM(I28:I31,I33:I35,I39,I41),150000)</f>
        <v>0</v>
      </c>
    </row>
    <row r="44" spans="1:9" ht="10.5" customHeight="1" x14ac:dyDescent="0.25">
      <c r="A44" s="4"/>
      <c r="H44" s="6"/>
    </row>
    <row r="45" spans="1:9" ht="14.1" customHeight="1" x14ac:dyDescent="0.25">
      <c r="A45" s="4" t="s">
        <v>102</v>
      </c>
      <c r="H45" s="6" t="s">
        <v>72</v>
      </c>
      <c r="I45" s="25"/>
    </row>
    <row r="46" spans="1:9" ht="10.5" customHeight="1" x14ac:dyDescent="0.25">
      <c r="A46" s="4"/>
      <c r="H46" s="6"/>
      <c r="I46" s="29"/>
    </row>
    <row r="47" spans="1:9" ht="14.1" customHeight="1" x14ac:dyDescent="0.25">
      <c r="A47" s="4" t="s">
        <v>103</v>
      </c>
      <c r="H47" s="6" t="s">
        <v>72</v>
      </c>
      <c r="I47" s="25"/>
    </row>
    <row r="48" spans="1:9" ht="14.1" customHeight="1" x14ac:dyDescent="0.25">
      <c r="A48" s="4" t="s">
        <v>104</v>
      </c>
    </row>
    <row r="49" spans="1:9" ht="14.1" customHeight="1" x14ac:dyDescent="0.25">
      <c r="A49" s="4" t="s">
        <v>105</v>
      </c>
      <c r="H49" s="6" t="s">
        <v>72</v>
      </c>
      <c r="I49" s="25"/>
    </row>
    <row r="50" spans="1:9" ht="14.1" customHeight="1" x14ac:dyDescent="0.25">
      <c r="A50" s="4" t="s">
        <v>106</v>
      </c>
    </row>
    <row r="51" spans="1:9" ht="14.1" customHeight="1" x14ac:dyDescent="0.25">
      <c r="A51" s="4" t="s">
        <v>107</v>
      </c>
      <c r="H51" s="26" t="s">
        <v>72</v>
      </c>
      <c r="I51" s="25"/>
    </row>
    <row r="52" spans="1:9" ht="14.1" customHeight="1" x14ac:dyDescent="0.25">
      <c r="A52" s="4" t="s">
        <v>108</v>
      </c>
    </row>
    <row r="53" spans="1:9" ht="14.1" customHeight="1" x14ac:dyDescent="0.25">
      <c r="A53" s="4" t="s">
        <v>109</v>
      </c>
      <c r="H53" s="26" t="s">
        <v>72</v>
      </c>
      <c r="I53" s="25"/>
    </row>
    <row r="54" spans="1:9" ht="14.1" customHeight="1" x14ac:dyDescent="0.25">
      <c r="A54" s="4" t="s">
        <v>110</v>
      </c>
    </row>
    <row r="55" spans="1:9" ht="14.1" customHeight="1" x14ac:dyDescent="0.25">
      <c r="A55" s="4" t="s">
        <v>111</v>
      </c>
    </row>
    <row r="56" spans="1:9" ht="14.1" customHeight="1" x14ac:dyDescent="0.25">
      <c r="A56" s="4" t="s">
        <v>112</v>
      </c>
      <c r="H56" s="26" t="s">
        <v>72</v>
      </c>
      <c r="I56" s="25"/>
    </row>
    <row r="57" spans="1:9" ht="14.1" customHeight="1" x14ac:dyDescent="0.25">
      <c r="A57" s="4" t="s">
        <v>113</v>
      </c>
    </row>
    <row r="58" spans="1:9" ht="14.1" customHeight="1" x14ac:dyDescent="0.25">
      <c r="A58" s="4" t="s">
        <v>114</v>
      </c>
      <c r="H58" s="26" t="s">
        <v>72</v>
      </c>
      <c r="I58" s="25"/>
    </row>
    <row r="59" spans="1:9" ht="14.1" customHeight="1" x14ac:dyDescent="0.25">
      <c r="A59" s="4" t="s">
        <v>115</v>
      </c>
      <c r="H59" s="26" t="s">
        <v>72</v>
      </c>
      <c r="I59" s="25"/>
    </row>
    <row r="60" spans="1:9" ht="14.1" customHeight="1" x14ac:dyDescent="0.25">
      <c r="A60" s="4" t="s">
        <v>116</v>
      </c>
      <c r="H60" s="26"/>
    </row>
    <row r="61" spans="1:9" ht="14.1" customHeight="1" x14ac:dyDescent="0.25">
      <c r="A61" s="4" t="s">
        <v>117</v>
      </c>
      <c r="H61" s="26" t="s">
        <v>72</v>
      </c>
      <c r="I61" s="25"/>
    </row>
    <row r="62" spans="1:9" ht="8.25" customHeight="1" x14ac:dyDescent="0.25"/>
    <row r="63" spans="1:9" x14ac:dyDescent="0.25">
      <c r="A63" s="9" t="s">
        <v>118</v>
      </c>
      <c r="H63" s="6" t="s">
        <v>72</v>
      </c>
      <c r="I63" s="9">
        <f>SUM(I43,I45,I47,I49,I51,I53,I56,I58,I59,I61)</f>
        <v>0</v>
      </c>
    </row>
    <row r="64" spans="1:9" ht="10.5" customHeight="1" x14ac:dyDescent="0.25">
      <c r="A64" s="9"/>
      <c r="H64" s="6"/>
      <c r="I64" s="9"/>
    </row>
    <row r="65" spans="1:10" ht="15.75" x14ac:dyDescent="0.25">
      <c r="A65" s="9" t="s">
        <v>119</v>
      </c>
      <c r="H65" s="6" t="s">
        <v>72</v>
      </c>
      <c r="J65" s="28">
        <f>J23-I63</f>
        <v>-50000</v>
      </c>
    </row>
    <row r="66" spans="1:10" ht="8.25" customHeight="1" x14ac:dyDescent="0.25"/>
    <row r="67" spans="1:10" ht="15" customHeight="1" x14ac:dyDescent="0.25">
      <c r="A67" s="99" t="s">
        <v>120</v>
      </c>
      <c r="B67" s="99"/>
      <c r="C67" s="99"/>
      <c r="D67" s="99"/>
      <c r="E67" s="99"/>
      <c r="F67" s="99"/>
      <c r="G67" s="99"/>
      <c r="H67" s="99"/>
      <c r="I67" s="99"/>
      <c r="J67" s="99"/>
    </row>
    <row r="68" spans="1:10" ht="9" customHeight="1" x14ac:dyDescent="0.25"/>
    <row r="69" spans="1:10" ht="15" customHeight="1" x14ac:dyDescent="0.25">
      <c r="A69" s="123" t="s">
        <v>121</v>
      </c>
      <c r="B69" s="124"/>
      <c r="C69" s="124"/>
      <c r="D69" s="124"/>
      <c r="E69" s="124"/>
      <c r="F69" s="124"/>
      <c r="G69" s="124"/>
      <c r="H69" s="124"/>
      <c r="I69" s="125"/>
    </row>
    <row r="70" spans="1:10" ht="14.1" customHeight="1" x14ac:dyDescent="0.25">
      <c r="A70" s="10" t="s">
        <v>122</v>
      </c>
      <c r="B70" s="30" t="s">
        <v>123</v>
      </c>
      <c r="C70" s="31"/>
      <c r="D70" s="31"/>
      <c r="E70" s="31"/>
      <c r="F70" s="32"/>
      <c r="G70" s="122" t="s">
        <v>20</v>
      </c>
      <c r="H70" s="122"/>
      <c r="I70" s="12"/>
    </row>
    <row r="71" spans="1:10" ht="14.1" customHeight="1" x14ac:dyDescent="0.25">
      <c r="A71" s="10" t="s">
        <v>124</v>
      </c>
      <c r="B71" s="30" t="s">
        <v>125</v>
      </c>
      <c r="C71" s="31"/>
      <c r="D71" s="31"/>
      <c r="E71" s="31"/>
      <c r="F71" s="32"/>
      <c r="G71" s="122" t="s">
        <v>126</v>
      </c>
      <c r="H71" s="122"/>
      <c r="I71" s="12">
        <f>ROUND(IF(J65&gt;250000,IF(J65&lt;500001,(J65-250000)*0.05,12500),0),0)</f>
        <v>0</v>
      </c>
    </row>
    <row r="72" spans="1:10" ht="14.1" customHeight="1" x14ac:dyDescent="0.25">
      <c r="A72" s="10" t="s">
        <v>127</v>
      </c>
      <c r="B72" s="30" t="s">
        <v>128</v>
      </c>
      <c r="C72" s="31"/>
      <c r="D72" s="31"/>
      <c r="E72" s="31"/>
      <c r="F72" s="32"/>
      <c r="G72" s="122" t="s">
        <v>129</v>
      </c>
      <c r="H72" s="122"/>
      <c r="I72" s="12">
        <f>ROUND(IF(J65&gt;500000,IF(J65&lt;1000001,(J65-500000)*0.2,100000),0),0)</f>
        <v>0</v>
      </c>
    </row>
    <row r="73" spans="1:10" ht="14.1" customHeight="1" x14ac:dyDescent="0.25">
      <c r="A73" s="10" t="s">
        <v>130</v>
      </c>
      <c r="B73" s="30" t="s">
        <v>131</v>
      </c>
      <c r="C73" s="31"/>
      <c r="D73" s="31"/>
      <c r="E73" s="31"/>
      <c r="F73" s="32"/>
      <c r="G73" s="122" t="s">
        <v>132</v>
      </c>
      <c r="H73" s="122"/>
      <c r="I73" s="12">
        <f>ROUND(IF(J65&gt;1000000,(J65-1000000)*0.3,0),0)</f>
        <v>0</v>
      </c>
    </row>
    <row r="74" spans="1:10" ht="14.1" customHeight="1" x14ac:dyDescent="0.25">
      <c r="A74" s="12"/>
      <c r="B74" s="33"/>
      <c r="C74" s="31"/>
      <c r="D74" s="31"/>
      <c r="E74" s="31"/>
      <c r="F74" s="32"/>
      <c r="G74" s="118"/>
      <c r="H74" s="118"/>
      <c r="I74" s="12"/>
    </row>
    <row r="75" spans="1:10" ht="14.1" customHeight="1" x14ac:dyDescent="0.25">
      <c r="A75" s="12"/>
      <c r="B75" s="119" t="s">
        <v>133</v>
      </c>
      <c r="C75" s="120"/>
      <c r="D75" s="120"/>
      <c r="E75" s="120"/>
      <c r="F75" s="120"/>
      <c r="G75" s="120"/>
      <c r="H75" s="121"/>
      <c r="I75" s="12">
        <f>SUM(I71:I73)</f>
        <v>0</v>
      </c>
    </row>
    <row r="76" spans="1:10" ht="14.1" customHeight="1" x14ac:dyDescent="0.25">
      <c r="A76" s="12"/>
      <c r="B76" s="112" t="s">
        <v>134</v>
      </c>
      <c r="C76" s="113"/>
      <c r="D76" s="113"/>
      <c r="E76" s="113"/>
      <c r="F76" s="113"/>
      <c r="G76" s="113"/>
      <c r="H76" s="114"/>
      <c r="I76" s="12">
        <f>IF(AND(J65&gt;250000,J65&lt;500001),IF(I75&lt;12500,I75,12500),0)</f>
        <v>0</v>
      </c>
    </row>
    <row r="77" spans="1:10" ht="14.1" customHeight="1" x14ac:dyDescent="0.25">
      <c r="A77" s="12"/>
      <c r="B77" s="115" t="s">
        <v>154</v>
      </c>
      <c r="C77" s="116"/>
      <c r="D77" s="116"/>
      <c r="E77" s="116"/>
      <c r="F77" s="116"/>
      <c r="G77" s="116"/>
      <c r="H77" s="117"/>
      <c r="I77" s="12">
        <f>I75-I76</f>
        <v>0</v>
      </c>
    </row>
    <row r="78" spans="1:10" ht="14.1" customHeight="1" x14ac:dyDescent="0.25">
      <c r="A78" s="12"/>
      <c r="B78" s="119" t="s">
        <v>135</v>
      </c>
      <c r="C78" s="120"/>
      <c r="D78" s="120"/>
      <c r="E78" s="120"/>
      <c r="F78" s="120"/>
      <c r="G78" s="120"/>
      <c r="H78" s="121"/>
      <c r="I78" s="12">
        <f>ROUND(I77*0.04,0)</f>
        <v>0</v>
      </c>
    </row>
    <row r="79" spans="1:10" ht="14.1" customHeight="1" x14ac:dyDescent="0.25">
      <c r="A79" s="12"/>
      <c r="B79" s="115" t="s">
        <v>136</v>
      </c>
      <c r="C79" s="116"/>
      <c r="D79" s="116"/>
      <c r="E79" s="116"/>
      <c r="F79" s="116"/>
      <c r="G79" s="116"/>
      <c r="H79" s="117"/>
      <c r="I79" s="34">
        <f>I77+I78</f>
        <v>0</v>
      </c>
    </row>
    <row r="80" spans="1:10" ht="11.25" customHeight="1" x14ac:dyDescent="0.25"/>
    <row r="81" spans="1:10" ht="15" customHeight="1" x14ac:dyDescent="0.25">
      <c r="A81" s="99" t="s">
        <v>186</v>
      </c>
      <c r="B81" s="99"/>
      <c r="C81" s="99"/>
      <c r="D81" s="99"/>
      <c r="E81" s="99"/>
      <c r="F81" s="99"/>
      <c r="G81" s="99"/>
      <c r="H81" s="99"/>
      <c r="I81" s="99"/>
      <c r="J81" s="99"/>
    </row>
    <row r="82" spans="1:10" ht="8.25" customHeight="1" x14ac:dyDescent="0.25"/>
    <row r="83" spans="1:10" ht="21" customHeight="1" x14ac:dyDescent="0.25">
      <c r="A83" s="100" t="s">
        <v>58</v>
      </c>
      <c r="B83" s="100" t="s">
        <v>59</v>
      </c>
      <c r="C83" s="100" t="s">
        <v>60</v>
      </c>
      <c r="D83" s="100" t="s">
        <v>61</v>
      </c>
      <c r="E83" s="100" t="s">
        <v>151</v>
      </c>
      <c r="F83" s="100" t="s">
        <v>62</v>
      </c>
      <c r="G83" s="98" t="s">
        <v>63</v>
      </c>
      <c r="H83" s="101"/>
      <c r="I83" s="101"/>
      <c r="J83" s="101"/>
    </row>
    <row r="84" spans="1:10" ht="23.25" customHeight="1" x14ac:dyDescent="0.25">
      <c r="A84" s="100"/>
      <c r="B84" s="100"/>
      <c r="C84" s="100"/>
      <c r="D84" s="100"/>
      <c r="E84" s="100"/>
      <c r="F84" s="100"/>
      <c r="G84" s="10" t="s">
        <v>64</v>
      </c>
      <c r="H84" s="10" t="s">
        <v>65</v>
      </c>
      <c r="I84" s="10" t="s">
        <v>66</v>
      </c>
      <c r="J84" s="10" t="s">
        <v>67</v>
      </c>
    </row>
    <row r="85" spans="1:10" ht="15" customHeight="1" x14ac:dyDescent="0.25">
      <c r="A85" s="11">
        <v>45748</v>
      </c>
      <c r="B85" s="35"/>
      <c r="C85" s="35"/>
      <c r="D85" s="35"/>
      <c r="E85" s="35"/>
      <c r="F85" s="13">
        <f t="shared" ref="F85:F96" si="0">SUM(B85:E85)</f>
        <v>0</v>
      </c>
      <c r="G85" s="14"/>
      <c r="H85" s="14"/>
      <c r="I85" s="14"/>
      <c r="J85" s="14"/>
    </row>
    <row r="86" spans="1:10" ht="15" customHeight="1" x14ac:dyDescent="0.25">
      <c r="A86" s="11">
        <v>45778</v>
      </c>
      <c r="B86" s="35"/>
      <c r="C86" s="35"/>
      <c r="D86" s="35"/>
      <c r="E86" s="35"/>
      <c r="F86" s="13">
        <f t="shared" si="0"/>
        <v>0</v>
      </c>
      <c r="G86" s="14"/>
      <c r="H86" s="14"/>
      <c r="I86" s="14"/>
      <c r="J86" s="14"/>
    </row>
    <row r="87" spans="1:10" ht="15" customHeight="1" x14ac:dyDescent="0.25">
      <c r="A87" s="11">
        <v>45809</v>
      </c>
      <c r="B87" s="35"/>
      <c r="C87" s="35"/>
      <c r="D87" s="35"/>
      <c r="E87" s="35"/>
      <c r="F87" s="13">
        <f t="shared" si="0"/>
        <v>0</v>
      </c>
      <c r="G87" s="14"/>
      <c r="H87" s="14"/>
      <c r="I87" s="14"/>
      <c r="J87" s="14"/>
    </row>
    <row r="88" spans="1:10" ht="15" customHeight="1" x14ac:dyDescent="0.25">
      <c r="A88" s="11">
        <v>45839</v>
      </c>
      <c r="B88" s="35"/>
      <c r="C88" s="35"/>
      <c r="D88" s="35"/>
      <c r="E88" s="35"/>
      <c r="F88" s="13">
        <f t="shared" si="0"/>
        <v>0</v>
      </c>
      <c r="G88" s="14"/>
      <c r="H88" s="14"/>
      <c r="I88" s="14"/>
      <c r="J88" s="14"/>
    </row>
    <row r="89" spans="1:10" ht="15" customHeight="1" x14ac:dyDescent="0.25">
      <c r="A89" s="11">
        <v>45870</v>
      </c>
      <c r="B89" s="35"/>
      <c r="C89" s="35"/>
      <c r="D89" s="35"/>
      <c r="E89" s="35"/>
      <c r="F89" s="13">
        <f t="shared" si="0"/>
        <v>0</v>
      </c>
      <c r="G89" s="14"/>
      <c r="H89" s="14"/>
      <c r="I89" s="14"/>
      <c r="J89" s="14"/>
    </row>
    <row r="90" spans="1:10" ht="15" customHeight="1" x14ac:dyDescent="0.25">
      <c r="A90" s="11">
        <v>45901</v>
      </c>
      <c r="B90" s="35"/>
      <c r="C90" s="35"/>
      <c r="D90" s="35"/>
      <c r="E90" s="35"/>
      <c r="F90" s="13">
        <f t="shared" si="0"/>
        <v>0</v>
      </c>
      <c r="G90" s="14"/>
      <c r="H90" s="14"/>
      <c r="I90" s="14"/>
      <c r="J90" s="14"/>
    </row>
    <row r="91" spans="1:10" ht="15" customHeight="1" x14ac:dyDescent="0.25">
      <c r="A91" s="11">
        <v>45931</v>
      </c>
      <c r="B91" s="35"/>
      <c r="C91" s="35"/>
      <c r="D91" s="35"/>
      <c r="E91" s="35"/>
      <c r="F91" s="13">
        <f t="shared" si="0"/>
        <v>0</v>
      </c>
      <c r="G91" s="14"/>
      <c r="H91" s="14"/>
      <c r="I91" s="14"/>
      <c r="J91" s="14"/>
    </row>
    <row r="92" spans="1:10" ht="15" customHeight="1" x14ac:dyDescent="0.25">
      <c r="A92" s="11">
        <v>45962</v>
      </c>
      <c r="B92" s="35"/>
      <c r="C92" s="35"/>
      <c r="D92" s="35"/>
      <c r="E92" s="35"/>
      <c r="F92" s="13">
        <f t="shared" si="0"/>
        <v>0</v>
      </c>
      <c r="G92" s="14"/>
      <c r="H92" s="14"/>
      <c r="I92" s="14"/>
      <c r="J92" s="14"/>
    </row>
    <row r="93" spans="1:10" ht="15" customHeight="1" x14ac:dyDescent="0.25">
      <c r="A93" s="11">
        <v>45992</v>
      </c>
      <c r="B93" s="35"/>
      <c r="C93" s="35"/>
      <c r="D93" s="35"/>
      <c r="E93" s="35"/>
      <c r="F93" s="13">
        <f t="shared" si="0"/>
        <v>0</v>
      </c>
      <c r="G93" s="14"/>
      <c r="H93" s="14"/>
      <c r="I93" s="14"/>
      <c r="J93" s="14"/>
    </row>
    <row r="94" spans="1:10" ht="15" customHeight="1" x14ac:dyDescent="0.25">
      <c r="A94" s="11">
        <v>46023</v>
      </c>
      <c r="B94" s="35"/>
      <c r="C94" s="35"/>
      <c r="D94" s="35"/>
      <c r="E94" s="35"/>
      <c r="F94" s="13">
        <f t="shared" si="0"/>
        <v>0</v>
      </c>
      <c r="G94" s="14"/>
      <c r="H94" s="14"/>
      <c r="I94" s="14"/>
      <c r="J94" s="14"/>
    </row>
    <row r="95" spans="1:10" ht="15" customHeight="1" x14ac:dyDescent="0.25">
      <c r="A95" s="11">
        <v>46054</v>
      </c>
      <c r="B95" s="35"/>
      <c r="C95" s="35"/>
      <c r="D95" s="35"/>
      <c r="E95" s="35"/>
      <c r="F95" s="13">
        <f t="shared" si="0"/>
        <v>0</v>
      </c>
      <c r="G95" s="14"/>
      <c r="H95" s="14"/>
      <c r="I95" s="14"/>
      <c r="J95" s="14"/>
    </row>
    <row r="96" spans="1:10" ht="15" customHeight="1" x14ac:dyDescent="0.25">
      <c r="A96" s="11">
        <v>46082</v>
      </c>
      <c r="B96" s="35"/>
      <c r="C96" s="35"/>
      <c r="D96" s="35"/>
      <c r="E96" s="35"/>
      <c r="F96" s="13">
        <f t="shared" si="0"/>
        <v>0</v>
      </c>
      <c r="G96" s="14"/>
      <c r="H96" s="14"/>
      <c r="I96" s="14"/>
      <c r="J96" s="14"/>
    </row>
    <row r="97" spans="1:10" ht="15" customHeight="1" x14ac:dyDescent="0.25">
      <c r="A97" s="12"/>
      <c r="B97" s="98" t="s">
        <v>30</v>
      </c>
      <c r="C97" s="98"/>
      <c r="D97" s="98"/>
      <c r="E97" s="98"/>
      <c r="F97" s="12">
        <f>SUM(F85:F96)</f>
        <v>0</v>
      </c>
      <c r="G97" s="12">
        <f>SUM(G85:G96)</f>
        <v>0</v>
      </c>
      <c r="H97" s="12">
        <f t="shared" ref="H97:J97" si="1">SUM(H85:H96)</f>
        <v>0</v>
      </c>
      <c r="I97" s="12">
        <f t="shared" si="1"/>
        <v>0</v>
      </c>
      <c r="J97" s="12">
        <f t="shared" si="1"/>
        <v>0</v>
      </c>
    </row>
    <row r="98" spans="1:10" ht="11.25" customHeight="1" x14ac:dyDescent="0.25"/>
    <row r="99" spans="1:10" ht="15" customHeight="1" x14ac:dyDescent="0.25"/>
    <row r="100" spans="1:10" ht="15" customHeight="1" x14ac:dyDescent="0.25">
      <c r="A100" t="s">
        <v>68</v>
      </c>
      <c r="H100" s="4" t="s">
        <v>69</v>
      </c>
    </row>
  </sheetData>
  <mergeCells count="35">
    <mergeCell ref="E7:G7"/>
    <mergeCell ref="H7:J7"/>
    <mergeCell ref="G71:H71"/>
    <mergeCell ref="G72:H72"/>
    <mergeCell ref="G73:H73"/>
    <mergeCell ref="A1:J1"/>
    <mergeCell ref="A2:J2"/>
    <mergeCell ref="A67:J67"/>
    <mergeCell ref="A69:I69"/>
    <mergeCell ref="G70:H70"/>
    <mergeCell ref="A4:D4"/>
    <mergeCell ref="E4:G4"/>
    <mergeCell ref="H4:J4"/>
    <mergeCell ref="A5:D5"/>
    <mergeCell ref="E5:G5"/>
    <mergeCell ref="H5:J5"/>
    <mergeCell ref="A6:D6"/>
    <mergeCell ref="E6:G6"/>
    <mergeCell ref="H6:J6"/>
    <mergeCell ref="A7:D7"/>
    <mergeCell ref="B76:H76"/>
    <mergeCell ref="B77:H77"/>
    <mergeCell ref="G74:H74"/>
    <mergeCell ref="G83:J83"/>
    <mergeCell ref="B78:H78"/>
    <mergeCell ref="B79:H79"/>
    <mergeCell ref="D83:D84"/>
    <mergeCell ref="B75:H75"/>
    <mergeCell ref="B97:E97"/>
    <mergeCell ref="A81:J81"/>
    <mergeCell ref="A83:A84"/>
    <mergeCell ref="B83:B84"/>
    <mergeCell ref="C83:C84"/>
    <mergeCell ref="E83:E84"/>
    <mergeCell ref="F83:F8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L14" sqref="L14"/>
    </sheetView>
  </sheetViews>
  <sheetFormatPr defaultRowHeight="15" x14ac:dyDescent="0.25"/>
  <cols>
    <col min="1" max="1" width="9.7109375" customWidth="1"/>
    <col min="3" max="4" width="7.5703125" customWidth="1"/>
    <col min="7" max="7" width="7.5703125" customWidth="1"/>
    <col min="8" max="8" width="7" customWidth="1"/>
    <col min="9" max="9" width="10.140625" customWidth="1"/>
    <col min="10" max="10" width="10.7109375" customWidth="1"/>
  </cols>
  <sheetData>
    <row r="1" spans="1:11" ht="15.75" x14ac:dyDescent="0.25">
      <c r="A1" s="96" t="s">
        <v>188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1.25" customHeight="1" x14ac:dyDescent="0.2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15"/>
    </row>
    <row r="3" spans="1:11" ht="12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x14ac:dyDescent="0.25">
      <c r="A4" s="101" t="s">
        <v>38</v>
      </c>
      <c r="B4" s="101"/>
      <c r="C4" s="101"/>
      <c r="D4" s="101"/>
      <c r="E4" s="102" t="s">
        <v>39</v>
      </c>
      <c r="F4" s="103"/>
      <c r="G4" s="104"/>
      <c r="H4" s="102" t="s">
        <v>40</v>
      </c>
      <c r="I4" s="103"/>
      <c r="J4" s="104"/>
    </row>
    <row r="5" spans="1:11" ht="16.5" customHeight="1" x14ac:dyDescent="0.25">
      <c r="A5" s="130"/>
      <c r="B5" s="130"/>
      <c r="C5" s="130"/>
      <c r="D5" s="130"/>
      <c r="E5" s="127"/>
      <c r="F5" s="128"/>
      <c r="G5" s="129"/>
      <c r="H5" s="127"/>
      <c r="I5" s="128"/>
      <c r="J5" s="129"/>
    </row>
    <row r="6" spans="1:11" x14ac:dyDescent="0.25">
      <c r="A6" s="101" t="s">
        <v>41</v>
      </c>
      <c r="B6" s="118"/>
      <c r="C6" s="118"/>
      <c r="D6" s="118"/>
      <c r="E6" s="102" t="s">
        <v>152</v>
      </c>
      <c r="F6" s="103"/>
      <c r="G6" s="104"/>
      <c r="H6" s="102" t="s">
        <v>42</v>
      </c>
      <c r="I6" s="103"/>
      <c r="J6" s="104"/>
    </row>
    <row r="7" spans="1:11" ht="19.5" customHeight="1" x14ac:dyDescent="0.25">
      <c r="A7" s="130"/>
      <c r="B7" s="130"/>
      <c r="C7" s="130"/>
      <c r="D7" s="130"/>
      <c r="E7" s="109" t="s">
        <v>175</v>
      </c>
      <c r="F7" s="110"/>
      <c r="G7" s="111"/>
      <c r="H7" s="109" t="s">
        <v>176</v>
      </c>
      <c r="I7" s="110"/>
      <c r="J7" s="111"/>
    </row>
    <row r="8" spans="1:11" ht="12" customHeight="1" x14ac:dyDescent="0.25">
      <c r="B8" s="17"/>
      <c r="C8" s="17"/>
      <c r="D8" s="17"/>
      <c r="E8" s="17"/>
      <c r="F8" s="18"/>
      <c r="G8" s="19"/>
      <c r="H8" s="19"/>
      <c r="I8" s="18"/>
      <c r="J8" s="19"/>
    </row>
    <row r="9" spans="1:11" ht="15.75" x14ac:dyDescent="0.25">
      <c r="A9" s="20" t="s">
        <v>71</v>
      </c>
      <c r="B9" s="21"/>
      <c r="C9" s="21"/>
      <c r="D9" s="21"/>
      <c r="E9" s="21"/>
      <c r="F9" s="21"/>
      <c r="G9" s="21"/>
      <c r="H9" s="22" t="s">
        <v>72</v>
      </c>
      <c r="I9" s="23"/>
      <c r="J9" s="24">
        <f>F97</f>
        <v>0</v>
      </c>
    </row>
    <row r="10" spans="1:11" x14ac:dyDescent="0.25">
      <c r="A10" s="21"/>
      <c r="B10" s="23" t="s">
        <v>73</v>
      </c>
      <c r="C10" s="21"/>
      <c r="D10" s="21"/>
      <c r="E10" s="21"/>
      <c r="F10" s="21"/>
      <c r="G10" s="21"/>
      <c r="H10" s="21"/>
      <c r="I10" s="21"/>
      <c r="J10" s="21"/>
    </row>
    <row r="11" spans="1:11" ht="9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1" x14ac:dyDescent="0.25">
      <c r="A12" s="23" t="s">
        <v>74</v>
      </c>
      <c r="B12" s="21"/>
      <c r="C12" s="21"/>
      <c r="D12" s="21"/>
      <c r="E12" s="21"/>
      <c r="F12" s="21"/>
      <c r="G12" s="21"/>
      <c r="H12" s="22" t="s">
        <v>72</v>
      </c>
      <c r="I12" s="21">
        <f>G97</f>
        <v>0</v>
      </c>
      <c r="J12" s="21"/>
    </row>
    <row r="13" spans="1:11" x14ac:dyDescent="0.25">
      <c r="A13" s="23" t="s">
        <v>75</v>
      </c>
      <c r="B13" s="21"/>
      <c r="C13" s="21"/>
      <c r="D13" s="21"/>
      <c r="E13" s="21"/>
      <c r="F13" s="21"/>
      <c r="G13" s="21"/>
      <c r="H13" s="22" t="s">
        <v>72</v>
      </c>
      <c r="I13" s="21">
        <f>J97</f>
        <v>0</v>
      </c>
      <c r="J13" s="21"/>
    </row>
    <row r="14" spans="1:11" x14ac:dyDescent="0.25">
      <c r="A14" s="4" t="s">
        <v>76</v>
      </c>
      <c r="H14" s="6" t="s">
        <v>72</v>
      </c>
      <c r="I14" s="25"/>
    </row>
    <row r="15" spans="1:11" x14ac:dyDescent="0.25">
      <c r="A15" s="4" t="s">
        <v>77</v>
      </c>
    </row>
    <row r="16" spans="1:11" x14ac:dyDescent="0.25">
      <c r="A16" s="4" t="s">
        <v>78</v>
      </c>
      <c r="H16" s="26" t="s">
        <v>72</v>
      </c>
      <c r="I16">
        <v>50000</v>
      </c>
    </row>
    <row r="17" spans="1:10" x14ac:dyDescent="0.25">
      <c r="A17" s="4" t="s">
        <v>137</v>
      </c>
      <c r="H17" s="6" t="s">
        <v>72</v>
      </c>
      <c r="I17" s="27"/>
    </row>
    <row r="18" spans="1:10" x14ac:dyDescent="0.25">
      <c r="A18" s="4" t="s">
        <v>80</v>
      </c>
      <c r="I18" s="27"/>
    </row>
    <row r="19" spans="1:10" x14ac:dyDescent="0.25">
      <c r="A19" s="4" t="s">
        <v>81</v>
      </c>
    </row>
    <row r="20" spans="1:10" ht="6" customHeight="1" x14ac:dyDescent="0.25">
      <c r="A20" s="4"/>
    </row>
    <row r="21" spans="1:10" x14ac:dyDescent="0.25">
      <c r="A21" s="9" t="s">
        <v>82</v>
      </c>
      <c r="H21" s="6" t="s">
        <v>72</v>
      </c>
      <c r="I21">
        <f>SUM(I12,I13,I14,I16,I17,I18)</f>
        <v>50000</v>
      </c>
    </row>
    <row r="22" spans="1:10" ht="11.25" customHeight="1" x14ac:dyDescent="0.25"/>
    <row r="23" spans="1:10" ht="15.75" x14ac:dyDescent="0.25">
      <c r="A23" s="9" t="s">
        <v>83</v>
      </c>
      <c r="H23" s="6" t="s">
        <v>72</v>
      </c>
      <c r="J23" s="28">
        <f>J9-I21</f>
        <v>-50000</v>
      </c>
    </row>
    <row r="24" spans="1:10" ht="6" customHeight="1" x14ac:dyDescent="0.25"/>
    <row r="25" spans="1:10" x14ac:dyDescent="0.25">
      <c r="A25" s="9" t="s">
        <v>84</v>
      </c>
    </row>
    <row r="26" spans="1:10" ht="14.1" customHeight="1" x14ac:dyDescent="0.25">
      <c r="A26" s="9" t="s">
        <v>85</v>
      </c>
    </row>
    <row r="27" spans="1:10" ht="14.1" customHeight="1" x14ac:dyDescent="0.25">
      <c r="A27" s="4" t="s">
        <v>86</v>
      </c>
      <c r="H27" s="6"/>
    </row>
    <row r="28" spans="1:10" x14ac:dyDescent="0.25">
      <c r="A28" s="4" t="s">
        <v>87</v>
      </c>
      <c r="H28" s="6" t="s">
        <v>72</v>
      </c>
      <c r="I28" s="25"/>
    </row>
    <row r="29" spans="1:10" x14ac:dyDescent="0.25">
      <c r="A29" s="4" t="s">
        <v>88</v>
      </c>
      <c r="H29" s="6" t="s">
        <v>72</v>
      </c>
      <c r="I29">
        <f>H97</f>
        <v>0</v>
      </c>
    </row>
    <row r="30" spans="1:10" x14ac:dyDescent="0.25">
      <c r="A30" s="4" t="s">
        <v>89</v>
      </c>
      <c r="H30" s="6" t="s">
        <v>72</v>
      </c>
      <c r="I30" s="25"/>
    </row>
    <row r="31" spans="1:10" x14ac:dyDescent="0.25">
      <c r="A31" s="4" t="s">
        <v>90</v>
      </c>
      <c r="H31" s="6" t="s">
        <v>72</v>
      </c>
      <c r="I31" s="25"/>
    </row>
    <row r="32" spans="1:10" x14ac:dyDescent="0.25">
      <c r="A32" s="4" t="s">
        <v>91</v>
      </c>
      <c r="H32" s="6"/>
    </row>
    <row r="33" spans="1:9" x14ac:dyDescent="0.25">
      <c r="A33" s="4" t="s">
        <v>92</v>
      </c>
      <c r="H33" s="6" t="s">
        <v>72</v>
      </c>
      <c r="I33" s="25"/>
    </row>
    <row r="34" spans="1:9" x14ac:dyDescent="0.25">
      <c r="A34" s="4" t="s">
        <v>138</v>
      </c>
      <c r="H34" s="6" t="s">
        <v>72</v>
      </c>
      <c r="I34" s="25"/>
    </row>
    <row r="35" spans="1:9" x14ac:dyDescent="0.25">
      <c r="A35" s="4" t="s">
        <v>94</v>
      </c>
      <c r="H35" s="6" t="s">
        <v>72</v>
      </c>
      <c r="I35" s="25"/>
    </row>
    <row r="36" spans="1:9" x14ac:dyDescent="0.25">
      <c r="A36" s="4" t="s">
        <v>95</v>
      </c>
    </row>
    <row r="37" spans="1:9" x14ac:dyDescent="0.25">
      <c r="A37" s="4" t="s">
        <v>96</v>
      </c>
    </row>
    <row r="38" spans="1:9" x14ac:dyDescent="0.25">
      <c r="A38" s="4" t="s">
        <v>97</v>
      </c>
    </row>
    <row r="39" spans="1:9" x14ac:dyDescent="0.25">
      <c r="A39" s="4" t="s">
        <v>98</v>
      </c>
      <c r="H39" s="6" t="s">
        <v>72</v>
      </c>
      <c r="I39" s="25"/>
    </row>
    <row r="40" spans="1:9" x14ac:dyDescent="0.25">
      <c r="A40" s="4" t="s">
        <v>99</v>
      </c>
    </row>
    <row r="41" spans="1:9" x14ac:dyDescent="0.25">
      <c r="A41" s="4" t="s">
        <v>100</v>
      </c>
      <c r="H41" s="6" t="s">
        <v>72</v>
      </c>
      <c r="I41" s="25"/>
    </row>
    <row r="43" spans="1:9" x14ac:dyDescent="0.25">
      <c r="A43" s="9" t="s">
        <v>101</v>
      </c>
      <c r="H43" s="6" t="s">
        <v>72</v>
      </c>
      <c r="I43">
        <f>IF(SUM(I28:I31,I33:I35,I39,I41)&lt;150000,SUM(I28:I31,I33:I35,I39,I41),150000)</f>
        <v>0</v>
      </c>
    </row>
    <row r="44" spans="1:9" x14ac:dyDescent="0.25">
      <c r="A44" s="4"/>
      <c r="H44" s="6"/>
    </row>
    <row r="45" spans="1:9" ht="14.1" customHeight="1" x14ac:dyDescent="0.25">
      <c r="A45" s="4" t="s">
        <v>102</v>
      </c>
      <c r="H45" s="6" t="s">
        <v>72</v>
      </c>
      <c r="I45" s="25"/>
    </row>
    <row r="46" spans="1:9" ht="10.5" customHeight="1" x14ac:dyDescent="0.25">
      <c r="A46" s="4"/>
      <c r="H46" s="6"/>
      <c r="I46" s="29"/>
    </row>
    <row r="47" spans="1:9" ht="14.1" customHeight="1" x14ac:dyDescent="0.25">
      <c r="A47" s="4" t="s">
        <v>103</v>
      </c>
      <c r="H47" s="6" t="s">
        <v>72</v>
      </c>
      <c r="I47" s="25"/>
    </row>
    <row r="48" spans="1:9" ht="14.1" customHeight="1" x14ac:dyDescent="0.25">
      <c r="A48" s="4" t="s">
        <v>139</v>
      </c>
    </row>
    <row r="49" spans="1:9" ht="14.1" customHeight="1" x14ac:dyDescent="0.25">
      <c r="A49" s="4" t="s">
        <v>140</v>
      </c>
      <c r="H49" s="6" t="s">
        <v>72</v>
      </c>
      <c r="I49" s="25"/>
    </row>
    <row r="50" spans="1:9" ht="6.75" customHeight="1" x14ac:dyDescent="0.25">
      <c r="A50" s="4"/>
    </row>
    <row r="51" spans="1:9" ht="14.1" customHeight="1" x14ac:dyDescent="0.25">
      <c r="A51" s="4" t="s">
        <v>107</v>
      </c>
      <c r="H51" s="26" t="s">
        <v>72</v>
      </c>
      <c r="I51" s="25"/>
    </row>
    <row r="52" spans="1:9" ht="14.1" customHeight="1" x14ac:dyDescent="0.25">
      <c r="A52" s="4" t="s">
        <v>108</v>
      </c>
    </row>
    <row r="53" spans="1:9" ht="14.1" customHeight="1" x14ac:dyDescent="0.25">
      <c r="A53" s="4" t="s">
        <v>109</v>
      </c>
      <c r="H53" s="26" t="s">
        <v>72</v>
      </c>
      <c r="I53" s="25"/>
    </row>
    <row r="54" spans="1:9" ht="14.1" customHeight="1" x14ac:dyDescent="0.25">
      <c r="A54" s="4" t="s">
        <v>110</v>
      </c>
    </row>
    <row r="55" spans="1:9" ht="14.1" customHeight="1" x14ac:dyDescent="0.25">
      <c r="A55" s="4" t="s">
        <v>111</v>
      </c>
    </row>
    <row r="56" spans="1:9" ht="14.1" customHeight="1" x14ac:dyDescent="0.25">
      <c r="A56" s="4" t="s">
        <v>112</v>
      </c>
      <c r="H56" s="26" t="s">
        <v>72</v>
      </c>
      <c r="I56" s="25"/>
    </row>
    <row r="57" spans="1:9" ht="14.1" customHeight="1" x14ac:dyDescent="0.25">
      <c r="A57" s="4" t="s">
        <v>113</v>
      </c>
    </row>
    <row r="58" spans="1:9" ht="14.1" customHeight="1" x14ac:dyDescent="0.25">
      <c r="A58" s="4" t="s">
        <v>114</v>
      </c>
      <c r="H58" s="26" t="s">
        <v>72</v>
      </c>
      <c r="I58" s="25"/>
    </row>
    <row r="59" spans="1:9" ht="14.1" customHeight="1" x14ac:dyDescent="0.25">
      <c r="A59" s="4" t="s">
        <v>115</v>
      </c>
      <c r="H59" s="26" t="s">
        <v>72</v>
      </c>
      <c r="I59" s="25"/>
    </row>
    <row r="60" spans="1:9" ht="14.1" customHeight="1" x14ac:dyDescent="0.25">
      <c r="A60" s="4" t="s">
        <v>116</v>
      </c>
      <c r="H60" s="26"/>
    </row>
    <row r="61" spans="1:9" ht="14.1" customHeight="1" x14ac:dyDescent="0.25">
      <c r="A61" s="4" t="s">
        <v>117</v>
      </c>
      <c r="H61" s="26" t="s">
        <v>72</v>
      </c>
      <c r="I61" s="25"/>
    </row>
    <row r="62" spans="1:9" ht="8.25" customHeight="1" x14ac:dyDescent="0.25"/>
    <row r="63" spans="1:9" x14ac:dyDescent="0.25">
      <c r="A63" s="9" t="s">
        <v>118</v>
      </c>
      <c r="H63" s="6" t="s">
        <v>72</v>
      </c>
      <c r="I63" s="9">
        <f>SUM(I43,I45,I47,I49,I51,I53,I56,I58,I59,I61)</f>
        <v>0</v>
      </c>
    </row>
    <row r="64" spans="1:9" ht="10.5" customHeight="1" x14ac:dyDescent="0.25">
      <c r="A64" s="9"/>
      <c r="H64" s="6"/>
      <c r="I64" s="9"/>
    </row>
    <row r="65" spans="1:10" ht="15.75" x14ac:dyDescent="0.25">
      <c r="A65" s="9" t="s">
        <v>119</v>
      </c>
      <c r="H65" s="6" t="s">
        <v>72</v>
      </c>
      <c r="J65" s="28">
        <f>J23-I63</f>
        <v>-50000</v>
      </c>
    </row>
    <row r="66" spans="1:10" ht="8.25" customHeight="1" x14ac:dyDescent="0.25"/>
    <row r="67" spans="1:10" ht="15" customHeight="1" x14ac:dyDescent="0.25">
      <c r="A67" s="99" t="s">
        <v>120</v>
      </c>
      <c r="B67" s="99"/>
      <c r="C67" s="99"/>
      <c r="D67" s="99"/>
      <c r="E67" s="99"/>
      <c r="F67" s="99"/>
      <c r="G67" s="99"/>
      <c r="H67" s="99"/>
      <c r="I67" s="99"/>
      <c r="J67" s="99"/>
    </row>
    <row r="68" spans="1:10" ht="9" customHeight="1" x14ac:dyDescent="0.25"/>
    <row r="69" spans="1:10" ht="14.1" customHeight="1" x14ac:dyDescent="0.25">
      <c r="A69" s="123" t="s">
        <v>121</v>
      </c>
      <c r="B69" s="124"/>
      <c r="C69" s="124"/>
      <c r="D69" s="124"/>
      <c r="E69" s="124"/>
      <c r="F69" s="124"/>
      <c r="G69" s="124"/>
      <c r="H69" s="124"/>
      <c r="I69" s="125"/>
    </row>
    <row r="70" spans="1:10" ht="14.1" customHeight="1" x14ac:dyDescent="0.25">
      <c r="A70" s="10" t="s">
        <v>122</v>
      </c>
      <c r="B70" s="30" t="s">
        <v>141</v>
      </c>
      <c r="C70" s="31"/>
      <c r="D70" s="31"/>
      <c r="E70" s="31"/>
      <c r="F70" s="32"/>
      <c r="G70" s="122" t="s">
        <v>20</v>
      </c>
      <c r="H70" s="122"/>
      <c r="I70" s="12"/>
    </row>
    <row r="71" spans="1:10" ht="14.1" customHeight="1" x14ac:dyDescent="0.25">
      <c r="A71" s="10" t="s">
        <v>124</v>
      </c>
      <c r="B71" s="30" t="s">
        <v>142</v>
      </c>
      <c r="C71" s="31"/>
      <c r="D71" s="31"/>
      <c r="E71" s="31"/>
      <c r="F71" s="32"/>
      <c r="G71" s="122" t="s">
        <v>126</v>
      </c>
      <c r="H71" s="122"/>
      <c r="I71" s="12">
        <f>ROUND(IF(J65&gt;300000,IF(J65&lt;500001,(J65-300000)*0.05,10000),0),0)</f>
        <v>0</v>
      </c>
    </row>
    <row r="72" spans="1:10" ht="14.1" customHeight="1" x14ac:dyDescent="0.25">
      <c r="A72" s="10" t="s">
        <v>127</v>
      </c>
      <c r="B72" s="30" t="s">
        <v>128</v>
      </c>
      <c r="C72" s="31"/>
      <c r="D72" s="31"/>
      <c r="E72" s="31"/>
      <c r="F72" s="32"/>
      <c r="G72" s="122" t="s">
        <v>129</v>
      </c>
      <c r="H72" s="122"/>
      <c r="I72" s="12">
        <f>ROUND(IF(J65&gt;500000,IF(J65&lt;1000001,(J65-500000)*0.2,100000),0),0)</f>
        <v>0</v>
      </c>
    </row>
    <row r="73" spans="1:10" ht="14.1" customHeight="1" x14ac:dyDescent="0.25">
      <c r="A73" s="10" t="s">
        <v>130</v>
      </c>
      <c r="B73" s="30" t="s">
        <v>131</v>
      </c>
      <c r="C73" s="31"/>
      <c r="D73" s="31"/>
      <c r="E73" s="31"/>
      <c r="F73" s="32"/>
      <c r="G73" s="122" t="s">
        <v>132</v>
      </c>
      <c r="H73" s="122"/>
      <c r="I73" s="12">
        <f>ROUND(IF(J65&gt;1000000,(J65-1000000)*0.3,0),0)</f>
        <v>0</v>
      </c>
    </row>
    <row r="74" spans="1:10" ht="14.1" customHeight="1" x14ac:dyDescent="0.25">
      <c r="A74" s="12"/>
      <c r="B74" s="33"/>
      <c r="C74" s="31"/>
      <c r="D74" s="31"/>
      <c r="E74" s="31"/>
      <c r="F74" s="32"/>
      <c r="G74" s="118"/>
      <c r="H74" s="118"/>
      <c r="I74" s="12"/>
    </row>
    <row r="75" spans="1:10" ht="14.1" customHeight="1" x14ac:dyDescent="0.25">
      <c r="A75" s="12"/>
      <c r="B75" s="119" t="s">
        <v>133</v>
      </c>
      <c r="C75" s="120"/>
      <c r="D75" s="120"/>
      <c r="E75" s="120"/>
      <c r="F75" s="120"/>
      <c r="G75" s="120"/>
      <c r="H75" s="121"/>
      <c r="I75" s="12">
        <f>SUM(I71:I73)</f>
        <v>0</v>
      </c>
    </row>
    <row r="76" spans="1:10" ht="14.1" customHeight="1" x14ac:dyDescent="0.25">
      <c r="A76" s="12"/>
      <c r="B76" s="112" t="s">
        <v>134</v>
      </c>
      <c r="C76" s="113"/>
      <c r="D76" s="113"/>
      <c r="E76" s="113"/>
      <c r="F76" s="113"/>
      <c r="G76" s="113"/>
      <c r="H76" s="114"/>
      <c r="I76" s="12">
        <f>IF(AND(J65&gt;250000,J65&lt;500001),IF(I75&lt;10000,I75,10000),0)</f>
        <v>0</v>
      </c>
    </row>
    <row r="77" spans="1:10" ht="14.1" customHeight="1" x14ac:dyDescent="0.25">
      <c r="A77" s="12"/>
      <c r="B77" s="115" t="s">
        <v>154</v>
      </c>
      <c r="C77" s="116"/>
      <c r="D77" s="116"/>
      <c r="E77" s="116"/>
      <c r="F77" s="116"/>
      <c r="G77" s="116"/>
      <c r="H77" s="117"/>
      <c r="I77" s="12">
        <f>I75-I76</f>
        <v>0</v>
      </c>
    </row>
    <row r="78" spans="1:10" ht="14.1" customHeight="1" x14ac:dyDescent="0.25">
      <c r="A78" s="12"/>
      <c r="B78" s="119" t="s">
        <v>135</v>
      </c>
      <c r="C78" s="120"/>
      <c r="D78" s="120"/>
      <c r="E78" s="120"/>
      <c r="F78" s="120"/>
      <c r="G78" s="120"/>
      <c r="H78" s="121"/>
      <c r="I78" s="12">
        <f>ROUND(I77*0.04,0)</f>
        <v>0</v>
      </c>
    </row>
    <row r="79" spans="1:10" ht="14.1" customHeight="1" x14ac:dyDescent="0.25">
      <c r="A79" s="12"/>
      <c r="B79" s="115" t="s">
        <v>136</v>
      </c>
      <c r="C79" s="116"/>
      <c r="D79" s="116"/>
      <c r="E79" s="116"/>
      <c r="F79" s="116"/>
      <c r="G79" s="116"/>
      <c r="H79" s="117"/>
      <c r="I79" s="34">
        <f>I77+I78</f>
        <v>0</v>
      </c>
    </row>
    <row r="80" spans="1:10" ht="9" customHeight="1" x14ac:dyDescent="0.25"/>
    <row r="81" spans="1:10" ht="15" customHeight="1" x14ac:dyDescent="0.25">
      <c r="A81" s="99" t="s">
        <v>186</v>
      </c>
      <c r="B81" s="99"/>
      <c r="C81" s="99"/>
      <c r="D81" s="99"/>
      <c r="E81" s="99"/>
      <c r="F81" s="99"/>
      <c r="G81" s="99"/>
      <c r="H81" s="99"/>
      <c r="I81" s="99"/>
      <c r="J81" s="99"/>
    </row>
    <row r="82" spans="1:10" ht="9.75" customHeight="1" x14ac:dyDescent="0.25"/>
    <row r="83" spans="1:10" ht="19.5" customHeight="1" x14ac:dyDescent="0.25">
      <c r="A83" s="100" t="s">
        <v>58</v>
      </c>
      <c r="B83" s="100" t="s">
        <v>59</v>
      </c>
      <c r="C83" s="100" t="s">
        <v>60</v>
      </c>
      <c r="D83" s="100" t="s">
        <v>61</v>
      </c>
      <c r="E83" s="126" t="s">
        <v>151</v>
      </c>
      <c r="F83" s="100" t="s">
        <v>62</v>
      </c>
      <c r="G83" s="98" t="s">
        <v>63</v>
      </c>
      <c r="H83" s="101"/>
      <c r="I83" s="101"/>
      <c r="J83" s="101"/>
    </row>
    <row r="84" spans="1:10" ht="16.5" customHeight="1" x14ac:dyDescent="0.25">
      <c r="A84" s="100"/>
      <c r="B84" s="100"/>
      <c r="C84" s="100"/>
      <c r="D84" s="100"/>
      <c r="E84" s="126"/>
      <c r="F84" s="100"/>
      <c r="G84" s="10" t="s">
        <v>64</v>
      </c>
      <c r="H84" s="10" t="s">
        <v>65</v>
      </c>
      <c r="I84" s="10" t="s">
        <v>66</v>
      </c>
      <c r="J84" s="10" t="s">
        <v>67</v>
      </c>
    </row>
    <row r="85" spans="1:10" ht="15" customHeight="1" x14ac:dyDescent="0.25">
      <c r="A85" s="11">
        <v>45748</v>
      </c>
      <c r="B85" s="35"/>
      <c r="C85" s="35"/>
      <c r="D85" s="35"/>
      <c r="E85" s="35"/>
      <c r="F85" s="13">
        <f t="shared" ref="F85:F96" si="0">SUM(B85:E85)</f>
        <v>0</v>
      </c>
      <c r="G85" s="14"/>
      <c r="H85" s="14"/>
      <c r="I85" s="14"/>
      <c r="J85" s="14"/>
    </row>
    <row r="86" spans="1:10" ht="15" customHeight="1" x14ac:dyDescent="0.25">
      <c r="A86" s="11">
        <v>45778</v>
      </c>
      <c r="B86" s="35"/>
      <c r="C86" s="35"/>
      <c r="D86" s="35"/>
      <c r="E86" s="35"/>
      <c r="F86" s="13">
        <f t="shared" si="0"/>
        <v>0</v>
      </c>
      <c r="G86" s="14"/>
      <c r="H86" s="14"/>
      <c r="I86" s="14"/>
      <c r="J86" s="14"/>
    </row>
    <row r="87" spans="1:10" ht="15" customHeight="1" x14ac:dyDescent="0.25">
      <c r="A87" s="11">
        <v>45809</v>
      </c>
      <c r="B87" s="35"/>
      <c r="C87" s="35"/>
      <c r="D87" s="35"/>
      <c r="E87" s="35"/>
      <c r="F87" s="13">
        <f t="shared" si="0"/>
        <v>0</v>
      </c>
      <c r="G87" s="14"/>
      <c r="H87" s="14"/>
      <c r="I87" s="14"/>
      <c r="J87" s="14"/>
    </row>
    <row r="88" spans="1:10" ht="15" customHeight="1" x14ac:dyDescent="0.25">
      <c r="A88" s="11">
        <v>45839</v>
      </c>
      <c r="B88" s="35"/>
      <c r="C88" s="35"/>
      <c r="D88" s="35"/>
      <c r="E88" s="35"/>
      <c r="F88" s="13">
        <f t="shared" si="0"/>
        <v>0</v>
      </c>
      <c r="G88" s="14"/>
      <c r="H88" s="14"/>
      <c r="I88" s="14"/>
      <c r="J88" s="14"/>
    </row>
    <row r="89" spans="1:10" ht="15" customHeight="1" x14ac:dyDescent="0.25">
      <c r="A89" s="11">
        <v>45870</v>
      </c>
      <c r="B89" s="35"/>
      <c r="C89" s="35"/>
      <c r="D89" s="35"/>
      <c r="E89" s="35"/>
      <c r="F89" s="13">
        <f t="shared" si="0"/>
        <v>0</v>
      </c>
      <c r="G89" s="14"/>
      <c r="H89" s="14"/>
      <c r="I89" s="14"/>
      <c r="J89" s="14"/>
    </row>
    <row r="90" spans="1:10" ht="15" customHeight="1" x14ac:dyDescent="0.25">
      <c r="A90" s="11">
        <v>45901</v>
      </c>
      <c r="B90" s="35"/>
      <c r="C90" s="35"/>
      <c r="D90" s="35"/>
      <c r="E90" s="35"/>
      <c r="F90" s="13">
        <f t="shared" si="0"/>
        <v>0</v>
      </c>
      <c r="G90" s="14"/>
      <c r="H90" s="14"/>
      <c r="I90" s="14"/>
      <c r="J90" s="14"/>
    </row>
    <row r="91" spans="1:10" ht="15" customHeight="1" x14ac:dyDescent="0.25">
      <c r="A91" s="11">
        <v>45931</v>
      </c>
      <c r="B91" s="35"/>
      <c r="C91" s="35"/>
      <c r="D91" s="35"/>
      <c r="E91" s="35"/>
      <c r="F91" s="13">
        <f t="shared" si="0"/>
        <v>0</v>
      </c>
      <c r="G91" s="14"/>
      <c r="H91" s="14"/>
      <c r="I91" s="14"/>
      <c r="J91" s="14"/>
    </row>
    <row r="92" spans="1:10" ht="15" customHeight="1" x14ac:dyDescent="0.25">
      <c r="A92" s="11">
        <v>45962</v>
      </c>
      <c r="B92" s="35"/>
      <c r="C92" s="35"/>
      <c r="D92" s="35"/>
      <c r="E92" s="35"/>
      <c r="F92" s="13">
        <f t="shared" si="0"/>
        <v>0</v>
      </c>
      <c r="G92" s="14"/>
      <c r="H92" s="14"/>
      <c r="I92" s="14"/>
      <c r="J92" s="14"/>
    </row>
    <row r="93" spans="1:10" ht="15" customHeight="1" x14ac:dyDescent="0.25">
      <c r="A93" s="11">
        <v>45992</v>
      </c>
      <c r="B93" s="35"/>
      <c r="C93" s="35"/>
      <c r="D93" s="35"/>
      <c r="E93" s="35"/>
      <c r="F93" s="13">
        <f t="shared" si="0"/>
        <v>0</v>
      </c>
      <c r="G93" s="14"/>
      <c r="H93" s="14"/>
      <c r="I93" s="14"/>
      <c r="J93" s="14"/>
    </row>
    <row r="94" spans="1:10" ht="15" customHeight="1" x14ac:dyDescent="0.25">
      <c r="A94" s="11">
        <v>46023</v>
      </c>
      <c r="B94" s="35"/>
      <c r="C94" s="35"/>
      <c r="D94" s="35"/>
      <c r="E94" s="35"/>
      <c r="F94" s="13">
        <f t="shared" si="0"/>
        <v>0</v>
      </c>
      <c r="G94" s="14"/>
      <c r="H94" s="14"/>
      <c r="I94" s="14"/>
      <c r="J94" s="14"/>
    </row>
    <row r="95" spans="1:10" ht="15" customHeight="1" x14ac:dyDescent="0.25">
      <c r="A95" s="11">
        <v>46054</v>
      </c>
      <c r="B95" s="35"/>
      <c r="C95" s="35"/>
      <c r="D95" s="35"/>
      <c r="E95" s="35"/>
      <c r="F95" s="13">
        <f t="shared" si="0"/>
        <v>0</v>
      </c>
      <c r="G95" s="14"/>
      <c r="H95" s="14"/>
      <c r="I95" s="14"/>
      <c r="J95" s="14"/>
    </row>
    <row r="96" spans="1:10" ht="15" customHeight="1" x14ac:dyDescent="0.25">
      <c r="A96" s="11">
        <v>46082</v>
      </c>
      <c r="B96" s="35"/>
      <c r="C96" s="35"/>
      <c r="D96" s="35"/>
      <c r="E96" s="35"/>
      <c r="F96" s="13">
        <f t="shared" si="0"/>
        <v>0</v>
      </c>
      <c r="G96" s="14"/>
      <c r="H96" s="14"/>
      <c r="I96" s="14"/>
      <c r="J96" s="14"/>
    </row>
    <row r="97" spans="1:10" ht="15" customHeight="1" x14ac:dyDescent="0.25">
      <c r="A97" s="12"/>
      <c r="B97" s="98" t="s">
        <v>30</v>
      </c>
      <c r="C97" s="98"/>
      <c r="D97" s="98"/>
      <c r="E97" s="98"/>
      <c r="F97" s="12">
        <f>SUM(F85:F96)</f>
        <v>0</v>
      </c>
      <c r="G97" s="12">
        <f>SUM(G85:G96)</f>
        <v>0</v>
      </c>
      <c r="H97" s="12">
        <f t="shared" ref="H97:J97" si="1">SUM(H85:H96)</f>
        <v>0</v>
      </c>
      <c r="I97" s="12">
        <f t="shared" si="1"/>
        <v>0</v>
      </c>
      <c r="J97" s="12">
        <f t="shared" si="1"/>
        <v>0</v>
      </c>
    </row>
    <row r="98" spans="1:10" ht="10.5" customHeight="1" x14ac:dyDescent="0.25"/>
    <row r="99" spans="1:10" ht="15" customHeight="1" x14ac:dyDescent="0.25"/>
    <row r="100" spans="1:10" ht="15" customHeight="1" x14ac:dyDescent="0.25">
      <c r="A100" t="s">
        <v>68</v>
      </c>
      <c r="H100" s="4" t="s">
        <v>69</v>
      </c>
    </row>
  </sheetData>
  <mergeCells count="35">
    <mergeCell ref="A7:D7"/>
    <mergeCell ref="B77:H77"/>
    <mergeCell ref="G83:J83"/>
    <mergeCell ref="B78:H78"/>
    <mergeCell ref="B79:H79"/>
    <mergeCell ref="G71:H71"/>
    <mergeCell ref="G72:H72"/>
    <mergeCell ref="G73:H73"/>
    <mergeCell ref="B75:H75"/>
    <mergeCell ref="B76:H76"/>
    <mergeCell ref="G74:H74"/>
    <mergeCell ref="A1:J1"/>
    <mergeCell ref="A2:J2"/>
    <mergeCell ref="A67:J67"/>
    <mergeCell ref="A69:I69"/>
    <mergeCell ref="G70:H70"/>
    <mergeCell ref="H4:J4"/>
    <mergeCell ref="H5:J5"/>
    <mergeCell ref="H6:J6"/>
    <mergeCell ref="H7:J7"/>
    <mergeCell ref="E4:G4"/>
    <mergeCell ref="E5:G5"/>
    <mergeCell ref="E6:G6"/>
    <mergeCell ref="E7:G7"/>
    <mergeCell ref="A4:D4"/>
    <mergeCell ref="A5:D5"/>
    <mergeCell ref="A6:D6"/>
    <mergeCell ref="B97:E97"/>
    <mergeCell ref="A81:J81"/>
    <mergeCell ref="A83:A84"/>
    <mergeCell ref="B83:B84"/>
    <mergeCell ref="C83:C84"/>
    <mergeCell ref="E83:E84"/>
    <mergeCell ref="F83:F84"/>
    <mergeCell ref="D83:D8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New or Old</vt:lpstr>
      <vt:lpstr>NEW TDS</vt:lpstr>
      <vt:lpstr>Old TDS (Age below 60)</vt:lpstr>
      <vt:lpstr>Old TDS (Age 60-79)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2025-05-14T10:30:22Z</cp:lastPrinted>
  <dcterms:created xsi:type="dcterms:W3CDTF">2023-07-06T00:32:32Z</dcterms:created>
  <dcterms:modified xsi:type="dcterms:W3CDTF">2025-05-18T07:02:12Z</dcterms:modified>
</cp:coreProperties>
</file>